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5.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6.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7.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brank\Documents\Branko HOME pages\documents dwnload from Home Pages Jun2022\"/>
    </mc:Choice>
  </mc:AlternateContent>
  <xr:revisionPtr revIDLastSave="0" documentId="13_ncr:1_{B8E780AB-0C35-4362-ABBC-391826918C8D}" xr6:coauthVersionLast="47" xr6:coauthVersionMax="47" xr10:uidLastSave="{00000000-0000-0000-0000-000000000000}"/>
  <bookViews>
    <workbookView xWindow="-120" yWindow="-120" windowWidth="29040" windowHeight="15720" firstSheet="4" activeTab="9" xr2:uid="{00000000-000D-0000-FFFF-FFFF00000000}"/>
  </bookViews>
  <sheets>
    <sheet name="General" sheetId="9" r:id="rId1"/>
    <sheet name="1. Autocorr" sheetId="5" r:id="rId2"/>
    <sheet name="2. Phi" sheetId="2" r:id="rId3"/>
    <sheet name="3. Covar" sheetId="3" r:id="rId4"/>
    <sheet name="4. Sigma &amp; Theta" sheetId="1" r:id="rId5"/>
    <sheet name="5. Model" sheetId="6" r:id="rId6"/>
    <sheet name="6. Residual" sheetId="7" r:id="rId7"/>
    <sheet name="6a. Residual II" sheetId="10" r:id="rId8"/>
    <sheet name="7. Forecast" sheetId="8" r:id="rId9"/>
    <sheet name="8. Forecast interval" sheetId="12" r:id="rId10"/>
  </sheets>
  <definedNames>
    <definedName name="solver_adj" localSheetId="2" hidden="1">'2. Phi'!$B$8</definedName>
    <definedName name="solver_adj" localSheetId="4" hidden="1">'4. Sigma &amp; Theta'!$B$4:$B$5</definedName>
    <definedName name="solver_cvg" localSheetId="2" hidden="1">0.0001</definedName>
    <definedName name="solver_cvg" localSheetId="4" hidden="1">0.0001</definedName>
    <definedName name="solver_drv" localSheetId="2" hidden="1">2</definedName>
    <definedName name="solver_drv" localSheetId="4" hidden="1">1</definedName>
    <definedName name="solver_eng" localSheetId="2" hidden="1">1</definedName>
    <definedName name="solver_eng" localSheetId="4" hidden="1">1</definedName>
    <definedName name="solver_est" localSheetId="2" hidden="1">1</definedName>
    <definedName name="solver_est" localSheetId="4" hidden="1">1</definedName>
    <definedName name="solver_itr" localSheetId="2" hidden="1">2147483647</definedName>
    <definedName name="solver_itr" localSheetId="4" hidden="1">2147483647</definedName>
    <definedName name="solver_lhs1" localSheetId="2" hidden="1">'2. Phi'!$C$5</definedName>
    <definedName name="solver_lhs1" localSheetId="4" hidden="1">'4. Sigma &amp; Theta'!$C$4</definedName>
    <definedName name="solver_lhs2" localSheetId="2" hidden="1">'2. Phi'!#REF!</definedName>
    <definedName name="solver_lhs2" localSheetId="4" hidden="1">'4. Sigma &amp; Theta'!$C$5</definedName>
    <definedName name="solver_lhs3" localSheetId="2" hidden="1">'2. Phi'!#REF!</definedName>
    <definedName name="solver_lhs3" localSheetId="4" hidden="1">'4. Sigma &amp; Theta'!$C$23</definedName>
    <definedName name="solver_lhs4" localSheetId="4" hidden="1">'4. Sigma &amp; Theta'!$C$23</definedName>
    <definedName name="solver_lhs5" localSheetId="4" hidden="1">'4. Sigma &amp; Theta'!$C$23</definedName>
    <definedName name="solver_mip" localSheetId="2" hidden="1">2147483647</definedName>
    <definedName name="solver_mip" localSheetId="4" hidden="1">2147483647</definedName>
    <definedName name="solver_mni" localSheetId="2" hidden="1">30</definedName>
    <definedName name="solver_mni" localSheetId="4" hidden="1">30</definedName>
    <definedName name="solver_mrt" localSheetId="2" hidden="1">0.075</definedName>
    <definedName name="solver_mrt" localSheetId="4" hidden="1">0.075</definedName>
    <definedName name="solver_msl" localSheetId="2" hidden="1">2</definedName>
    <definedName name="solver_msl" localSheetId="4" hidden="1">2</definedName>
    <definedName name="solver_neg" localSheetId="2" hidden="1">2</definedName>
    <definedName name="solver_neg" localSheetId="4" hidden="1">2</definedName>
    <definedName name="solver_nod" localSheetId="2" hidden="1">2147483647</definedName>
    <definedName name="solver_nod" localSheetId="4" hidden="1">2147483647</definedName>
    <definedName name="solver_num" localSheetId="2" hidden="1">1</definedName>
    <definedName name="solver_num" localSheetId="4" hidden="1">2</definedName>
    <definedName name="solver_nwt" localSheetId="2" hidden="1">1</definedName>
    <definedName name="solver_nwt" localSheetId="4" hidden="1">1</definedName>
    <definedName name="solver_opt" localSheetId="2" hidden="1">'2. Phi'!$C$11</definedName>
    <definedName name="solver_opt" localSheetId="4" hidden="1">'4. Sigma &amp; Theta'!$C$6</definedName>
    <definedName name="solver_pre" localSheetId="2" hidden="1">0.000001</definedName>
    <definedName name="solver_pre" localSheetId="4" hidden="1">0.000001</definedName>
    <definedName name="solver_rbv" localSheetId="2" hidden="1">2</definedName>
    <definedName name="solver_rbv" localSheetId="4" hidden="1">1</definedName>
    <definedName name="solver_rel1" localSheetId="2" hidden="1">2</definedName>
    <definedName name="solver_rel1" localSheetId="4" hidden="1">2</definedName>
    <definedName name="solver_rel2" localSheetId="2" hidden="1">2</definedName>
    <definedName name="solver_rel2" localSheetId="4" hidden="1">2</definedName>
    <definedName name="solver_rel3" localSheetId="2" hidden="1">2</definedName>
    <definedName name="solver_rel3" localSheetId="4" hidden="1">2</definedName>
    <definedName name="solver_rel4" localSheetId="4" hidden="1">2</definedName>
    <definedName name="solver_rel5" localSheetId="4" hidden="1">2</definedName>
    <definedName name="solver_rhs1" localSheetId="2" hidden="1">0</definedName>
    <definedName name="solver_rhs1" localSheetId="4" hidden="1">0</definedName>
    <definedName name="solver_rhs2" localSheetId="2" hidden="1">0</definedName>
    <definedName name="solver_rhs2" localSheetId="4" hidden="1">0</definedName>
    <definedName name="solver_rhs3" localSheetId="2" hidden="1">0</definedName>
    <definedName name="solver_rhs3" localSheetId="4" hidden="1">0</definedName>
    <definedName name="solver_rhs4" localSheetId="4" hidden="1">0</definedName>
    <definedName name="solver_rhs5" localSheetId="4" hidden="1">0</definedName>
    <definedName name="solver_rlx" localSheetId="2" hidden="1">2</definedName>
    <definedName name="solver_rlx" localSheetId="4" hidden="1">2</definedName>
    <definedName name="solver_rsd" localSheetId="2" hidden="1">0</definedName>
    <definedName name="solver_rsd" localSheetId="4" hidden="1">0</definedName>
    <definedName name="solver_scl" localSheetId="2" hidden="1">2</definedName>
    <definedName name="solver_scl" localSheetId="4" hidden="1">1</definedName>
    <definedName name="solver_sho" localSheetId="2" hidden="1">2</definedName>
    <definedName name="solver_sho" localSheetId="4" hidden="1">2</definedName>
    <definedName name="solver_ssz" localSheetId="2" hidden="1">100</definedName>
    <definedName name="solver_ssz" localSheetId="4" hidden="1">100</definedName>
    <definedName name="solver_tim" localSheetId="2" hidden="1">2147483647</definedName>
    <definedName name="solver_tim" localSheetId="4" hidden="1">2147483647</definedName>
    <definedName name="solver_tol" localSheetId="2" hidden="1">0.01</definedName>
    <definedName name="solver_tol" localSheetId="4" hidden="1">0.01</definedName>
    <definedName name="solver_typ" localSheetId="2" hidden="1">3</definedName>
    <definedName name="solver_typ" localSheetId="4" hidden="1">3</definedName>
    <definedName name="solver_val" localSheetId="2" hidden="1">0</definedName>
    <definedName name="solver_val" localSheetId="4" hidden="1">0</definedName>
    <definedName name="solver_ver" localSheetId="2" hidden="1">3</definedName>
    <definedName name="solver_ver" localSheetId="4" hidde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B3" i="12" l="1"/>
  <c r="AC3" i="12"/>
  <c r="AC13" i="12"/>
  <c r="AC5" i="12"/>
  <c r="AC6" i="12"/>
  <c r="AC12" i="12"/>
  <c r="AC4" i="12"/>
  <c r="AC11" i="12"/>
  <c r="AC10" i="12"/>
  <c r="AC9" i="12"/>
  <c r="AC7" i="12"/>
  <c r="AC8" i="12"/>
  <c r="Z6" i="12"/>
  <c r="Z9" i="12"/>
  <c r="Z10" i="12"/>
  <c r="Z11" i="12"/>
  <c r="Z12" i="12"/>
  <c r="Z5" i="12"/>
  <c r="Z7" i="12"/>
  <c r="Z8" i="12"/>
  <c r="Z13" i="12"/>
  <c r="Z4" i="12"/>
  <c r="F9" i="6" l="1"/>
  <c r="N3" i="8"/>
  <c r="N3" i="12" s="1"/>
  <c r="G9" i="6"/>
  <c r="Q53" i="5" l="1"/>
  <c r="B51" i="8"/>
  <c r="B51" i="12" s="1"/>
  <c r="K52" i="6" l="1"/>
  <c r="Q52" i="5"/>
  <c r="Q5" i="5"/>
  <c r="Q6" i="5"/>
  <c r="Q7" i="5"/>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4" i="5"/>
  <c r="R53" i="5" s="1"/>
  <c r="C4" i="5"/>
  <c r="C5" i="5"/>
  <c r="C6" i="5"/>
  <c r="C7" i="5"/>
  <c r="C8"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3" i="5"/>
  <c r="R49" i="5" l="1"/>
  <c r="R17" i="5"/>
  <c r="R41" i="5"/>
  <c r="R25" i="5"/>
  <c r="R33" i="5"/>
  <c r="R9" i="5"/>
  <c r="R44" i="5"/>
  <c r="R50" i="5"/>
  <c r="R42" i="5"/>
  <c r="R34" i="5"/>
  <c r="R26" i="5"/>
  <c r="R18" i="5"/>
  <c r="R10" i="5"/>
  <c r="R40" i="5"/>
  <c r="R24" i="5"/>
  <c r="R8" i="5"/>
  <c r="R47" i="5"/>
  <c r="R39" i="5"/>
  <c r="R31" i="5"/>
  <c r="R23" i="5"/>
  <c r="S22" i="5" s="1"/>
  <c r="R15" i="5"/>
  <c r="R7" i="5"/>
  <c r="R48" i="5"/>
  <c r="R32" i="5"/>
  <c r="R16" i="5"/>
  <c r="R46" i="5"/>
  <c r="R38" i="5"/>
  <c r="R30" i="5"/>
  <c r="R22" i="5"/>
  <c r="R14" i="5"/>
  <c r="R6" i="5"/>
  <c r="M11" i="5"/>
  <c r="R52" i="5"/>
  <c r="R28" i="5"/>
  <c r="R20" i="5"/>
  <c r="R12" i="5"/>
  <c r="S11" i="5" s="1"/>
  <c r="R36" i="5"/>
  <c r="R51" i="5"/>
  <c r="R43" i="5"/>
  <c r="R35" i="5"/>
  <c r="R27" i="5"/>
  <c r="R19" i="5"/>
  <c r="R5" i="5"/>
  <c r="R4" i="5"/>
  <c r="D10" i="5"/>
  <c r="D17" i="5"/>
  <c r="D9" i="5"/>
  <c r="M17" i="5"/>
  <c r="M9" i="5"/>
  <c r="D2" i="5"/>
  <c r="D16" i="5"/>
  <c r="D8" i="5"/>
  <c r="M16" i="5"/>
  <c r="M8" i="5"/>
  <c r="R11" i="5"/>
  <c r="M18" i="5"/>
  <c r="R37" i="5"/>
  <c r="D3" i="5"/>
  <c r="D15" i="5"/>
  <c r="D7" i="5"/>
  <c r="M3" i="5"/>
  <c r="M15" i="5"/>
  <c r="M7" i="5"/>
  <c r="R13" i="5"/>
  <c r="D22" i="5"/>
  <c r="D14" i="5"/>
  <c r="D6" i="5"/>
  <c r="M22" i="5"/>
  <c r="M14" i="5"/>
  <c r="M6" i="5"/>
  <c r="M10" i="5"/>
  <c r="R45" i="5"/>
  <c r="R21" i="5"/>
  <c r="D21" i="5"/>
  <c r="D13" i="5"/>
  <c r="D5" i="5"/>
  <c r="M21" i="5"/>
  <c r="M13" i="5"/>
  <c r="M5" i="5"/>
  <c r="D18" i="5"/>
  <c r="R29" i="5"/>
  <c r="D20" i="5"/>
  <c r="D12" i="5"/>
  <c r="D4" i="5"/>
  <c r="M20" i="5"/>
  <c r="M12" i="5"/>
  <c r="M4" i="5"/>
  <c r="D19" i="5"/>
  <c r="D11" i="5"/>
  <c r="M19" i="5"/>
  <c r="S2" i="5" l="1"/>
  <c r="AC10" i="5"/>
  <c r="AC18" i="5"/>
  <c r="AC21" i="5"/>
  <c r="AC22" i="5"/>
  <c r="AC4" i="5"/>
  <c r="AC11" i="5"/>
  <c r="AC19" i="5"/>
  <c r="AC5" i="5"/>
  <c r="AC14" i="5"/>
  <c r="AC15" i="5"/>
  <c r="AC9" i="5"/>
  <c r="AC12" i="5"/>
  <c r="AC20" i="5"/>
  <c r="AC13" i="5"/>
  <c r="AC6" i="5"/>
  <c r="AC23" i="5"/>
  <c r="AC8" i="5"/>
  <c r="AC16" i="5"/>
  <c r="AC17" i="5"/>
  <c r="AC7" i="5"/>
  <c r="S20" i="5"/>
  <c r="S12" i="5"/>
  <c r="S7" i="5"/>
  <c r="S10" i="5"/>
  <c r="S5" i="5"/>
  <c r="S23" i="5"/>
  <c r="T23" i="5" s="1"/>
  <c r="AF46" i="5" s="1"/>
  <c r="S13" i="5"/>
  <c r="S6" i="5"/>
  <c r="S8" i="5"/>
  <c r="S21" i="5"/>
  <c r="S14" i="5"/>
  <c r="S9" i="5"/>
  <c r="S17" i="5"/>
  <c r="S19" i="5"/>
  <c r="S4" i="5"/>
  <c r="S18" i="5"/>
  <c r="S16" i="5"/>
  <c r="S15" i="5"/>
  <c r="T4" i="5"/>
  <c r="W4" i="5" s="1"/>
  <c r="U18" i="8"/>
  <c r="U18" i="12" s="1"/>
  <c r="U19" i="8"/>
  <c r="U19" i="12" s="1"/>
  <c r="U17" i="8"/>
  <c r="U17" i="12" s="1"/>
  <c r="R18" i="8"/>
  <c r="R18" i="12" s="1"/>
  <c r="R19" i="8"/>
  <c r="R19" i="12" s="1"/>
  <c r="R17" i="8"/>
  <c r="R17" i="12" s="1"/>
  <c r="O18" i="8"/>
  <c r="O18" i="12" s="1"/>
  <c r="O19" i="8"/>
  <c r="O19" i="12" s="1"/>
  <c r="O17" i="8"/>
  <c r="O17" i="12" s="1"/>
  <c r="T15" i="8"/>
  <c r="T15" i="12" s="1"/>
  <c r="T16" i="8"/>
  <c r="T16" i="12" s="1"/>
  <c r="T14" i="8"/>
  <c r="T14" i="12" s="1"/>
  <c r="Q15" i="8"/>
  <c r="Q15" i="12" s="1"/>
  <c r="Q14" i="8"/>
  <c r="Q14" i="12" s="1"/>
  <c r="N14" i="8"/>
  <c r="N14" i="12" s="1"/>
  <c r="U12" i="8"/>
  <c r="U12" i="12" s="1"/>
  <c r="U11" i="8"/>
  <c r="U11" i="12" s="1"/>
  <c r="R12" i="8"/>
  <c r="R12" i="12" s="1"/>
  <c r="R11" i="8"/>
  <c r="R11" i="12" s="1"/>
  <c r="O12" i="8"/>
  <c r="O12" i="12" s="1"/>
  <c r="O11" i="8"/>
  <c r="O11" i="12" s="1"/>
  <c r="T9" i="8"/>
  <c r="T9" i="12" s="1"/>
  <c r="T10" i="8"/>
  <c r="T10" i="12" s="1"/>
  <c r="T8" i="8"/>
  <c r="T8" i="12" s="1"/>
  <c r="Q9" i="8"/>
  <c r="Q9" i="12" s="1"/>
  <c r="Q8" i="8"/>
  <c r="Q8" i="12" s="1"/>
  <c r="N8" i="8"/>
  <c r="N8" i="12" s="1"/>
  <c r="U6" i="8"/>
  <c r="U6" i="12" s="1"/>
  <c r="R6" i="8"/>
  <c r="R6" i="12" s="1"/>
  <c r="O6" i="8"/>
  <c r="O6" i="12" s="1"/>
  <c r="Y4" i="12" s="1"/>
  <c r="T4" i="8"/>
  <c r="T4" i="12" s="1"/>
  <c r="T5" i="8"/>
  <c r="T5" i="12" s="1"/>
  <c r="T3" i="8"/>
  <c r="T3" i="12" s="1"/>
  <c r="Q4" i="8"/>
  <c r="Q4" i="12" s="1"/>
  <c r="Q3" i="8"/>
  <c r="Q3" i="12" s="1"/>
  <c r="B3" i="8"/>
  <c r="B3" i="12" s="1"/>
  <c r="B4" i="8"/>
  <c r="B4" i="12" s="1"/>
  <c r="B5" i="8"/>
  <c r="B5" i="12" s="1"/>
  <c r="B6" i="8"/>
  <c r="B6" i="12" s="1"/>
  <c r="B7" i="8"/>
  <c r="B7" i="12" s="1"/>
  <c r="B8" i="8"/>
  <c r="B8" i="12" s="1"/>
  <c r="B9" i="8"/>
  <c r="B9" i="12" s="1"/>
  <c r="B10" i="8"/>
  <c r="B10" i="12" s="1"/>
  <c r="B11" i="8"/>
  <c r="B11" i="12" s="1"/>
  <c r="B12" i="8"/>
  <c r="B12" i="12" s="1"/>
  <c r="B13" i="8"/>
  <c r="B13" i="12" s="1"/>
  <c r="B14" i="8"/>
  <c r="B14" i="12" s="1"/>
  <c r="B15" i="8"/>
  <c r="B15" i="12" s="1"/>
  <c r="B16" i="8"/>
  <c r="B16" i="12" s="1"/>
  <c r="B17" i="8"/>
  <c r="B17" i="12" s="1"/>
  <c r="B18" i="8"/>
  <c r="B18" i="12" s="1"/>
  <c r="B19" i="8"/>
  <c r="B19" i="12" s="1"/>
  <c r="B20" i="8"/>
  <c r="B20" i="12" s="1"/>
  <c r="B21" i="8"/>
  <c r="B21" i="12" s="1"/>
  <c r="B22" i="8"/>
  <c r="B22" i="12" s="1"/>
  <c r="B23" i="8"/>
  <c r="B23" i="12" s="1"/>
  <c r="B24" i="8"/>
  <c r="B24" i="12" s="1"/>
  <c r="B25" i="8"/>
  <c r="B25" i="12" s="1"/>
  <c r="B26" i="8"/>
  <c r="B26" i="12" s="1"/>
  <c r="B27" i="8"/>
  <c r="B27" i="12" s="1"/>
  <c r="B28" i="8"/>
  <c r="B28" i="12" s="1"/>
  <c r="B29" i="8"/>
  <c r="B29" i="12" s="1"/>
  <c r="B30" i="8"/>
  <c r="B30" i="12" s="1"/>
  <c r="B31" i="8"/>
  <c r="B31" i="12" s="1"/>
  <c r="B32" i="8"/>
  <c r="B32" i="12" s="1"/>
  <c r="B33" i="8"/>
  <c r="B33" i="12" s="1"/>
  <c r="B34" i="8"/>
  <c r="B34" i="12" s="1"/>
  <c r="B35" i="8"/>
  <c r="B35" i="12" s="1"/>
  <c r="B36" i="8"/>
  <c r="B36" i="12" s="1"/>
  <c r="B37" i="8"/>
  <c r="B37" i="12" s="1"/>
  <c r="B38" i="8"/>
  <c r="B38" i="12" s="1"/>
  <c r="B39" i="8"/>
  <c r="B39" i="12" s="1"/>
  <c r="B40" i="8"/>
  <c r="B40" i="12" s="1"/>
  <c r="B41" i="8"/>
  <c r="B41" i="12" s="1"/>
  <c r="B42" i="8"/>
  <c r="B42" i="12" s="1"/>
  <c r="B43" i="8"/>
  <c r="B43" i="12" s="1"/>
  <c r="B44" i="8"/>
  <c r="B44" i="12" s="1"/>
  <c r="B45" i="8"/>
  <c r="B45" i="12" s="1"/>
  <c r="B46" i="8"/>
  <c r="B46" i="12" s="1"/>
  <c r="B47" i="8"/>
  <c r="B47" i="12" s="1"/>
  <c r="B48" i="8"/>
  <c r="B48" i="12" s="1"/>
  <c r="B49" i="8"/>
  <c r="B49" i="12" s="1"/>
  <c r="B50" i="8"/>
  <c r="B50" i="12" s="1"/>
  <c r="B2" i="8"/>
  <c r="B2" i="12" s="1"/>
  <c r="K3" i="7"/>
  <c r="AB4" i="12" l="1"/>
  <c r="AB6" i="12"/>
  <c r="AB7" i="12"/>
  <c r="AB9" i="12"/>
  <c r="AB10" i="12"/>
  <c r="AB11" i="12"/>
  <c r="Y5" i="12"/>
  <c r="Y6" i="12" s="1"/>
  <c r="Y7" i="12" s="1"/>
  <c r="Y8" i="12" s="1"/>
  <c r="Y9" i="12" s="1"/>
  <c r="Y10" i="12" s="1"/>
  <c r="Y11" i="12" s="1"/>
  <c r="Y12" i="12" s="1"/>
  <c r="Y13" i="12" s="1"/>
  <c r="AF27" i="5"/>
  <c r="C2" i="8"/>
  <c r="N4" i="6"/>
  <c r="F7" i="6"/>
  <c r="B19" i="6" s="1"/>
  <c r="C19" i="6" s="1"/>
  <c r="F8" i="6"/>
  <c r="M11" i="6"/>
  <c r="K4" i="6"/>
  <c r="K5" i="6"/>
  <c r="K6" i="6"/>
  <c r="K7" i="6"/>
  <c r="K8" i="6"/>
  <c r="K9" i="6"/>
  <c r="K10" i="6"/>
  <c r="K11" i="6"/>
  <c r="K12" i="6"/>
  <c r="K13" i="6"/>
  <c r="K14" i="6"/>
  <c r="K15" i="6"/>
  <c r="K16" i="6"/>
  <c r="K17" i="6"/>
  <c r="K18" i="6"/>
  <c r="K19" i="6"/>
  <c r="K20" i="6"/>
  <c r="K21" i="6"/>
  <c r="K22" i="6"/>
  <c r="K23" i="6"/>
  <c r="K24" i="6"/>
  <c r="K25" i="6"/>
  <c r="K26" i="6"/>
  <c r="K27" i="6"/>
  <c r="K28" i="6"/>
  <c r="K29" i="6"/>
  <c r="K30" i="6"/>
  <c r="K31" i="6"/>
  <c r="K32" i="6"/>
  <c r="K33" i="6"/>
  <c r="K34" i="6"/>
  <c r="K35" i="6"/>
  <c r="K36" i="6"/>
  <c r="K37" i="6"/>
  <c r="K38" i="6"/>
  <c r="K39" i="6"/>
  <c r="K40" i="6"/>
  <c r="K41" i="6"/>
  <c r="K42" i="6"/>
  <c r="K43" i="6"/>
  <c r="K44" i="6"/>
  <c r="K45" i="6"/>
  <c r="K46" i="6"/>
  <c r="K47" i="6"/>
  <c r="K48" i="6"/>
  <c r="K49" i="6"/>
  <c r="K50" i="6"/>
  <c r="K51" i="6"/>
  <c r="K3" i="6"/>
  <c r="B23" i="6"/>
  <c r="C23" i="6" s="1"/>
  <c r="L51" i="6" l="1"/>
  <c r="AB8" i="12"/>
  <c r="AB13" i="12"/>
  <c r="AB5" i="12"/>
  <c r="D2" i="8"/>
  <c r="C3" i="8" s="1"/>
  <c r="C3" i="12" s="1"/>
  <c r="D3" i="12" s="1"/>
  <c r="C2" i="12"/>
  <c r="D2" i="12" s="1"/>
  <c r="AB12" i="12"/>
  <c r="B7" i="6"/>
  <c r="L44" i="6"/>
  <c r="L36" i="6"/>
  <c r="L28" i="6"/>
  <c r="L43" i="6"/>
  <c r="L50" i="6"/>
  <c r="L42" i="6"/>
  <c r="L34" i="6"/>
  <c r="L10" i="6"/>
  <c r="B13" i="6"/>
  <c r="C13" i="6" s="1"/>
  <c r="M52" i="6"/>
  <c r="L35" i="6"/>
  <c r="L49" i="6"/>
  <c r="L41" i="6"/>
  <c r="L33" i="6"/>
  <c r="L48" i="6"/>
  <c r="L27" i="6"/>
  <c r="L40" i="6"/>
  <c r="L32" i="6"/>
  <c r="L47" i="6"/>
  <c r="L39" i="6"/>
  <c r="L31" i="6"/>
  <c r="L46" i="6"/>
  <c r="L38" i="6"/>
  <c r="L30" i="6"/>
  <c r="L11" i="6"/>
  <c r="L19" i="6"/>
  <c r="L4" i="6"/>
  <c r="L12" i="6"/>
  <c r="L20" i="6"/>
  <c r="L5" i="6"/>
  <c r="L13" i="6"/>
  <c r="L21" i="6"/>
  <c r="L3" i="6"/>
  <c r="L6" i="6"/>
  <c r="L14" i="6"/>
  <c r="L22" i="6"/>
  <c r="L26" i="6"/>
  <c r="L7" i="6"/>
  <c r="L15" i="6"/>
  <c r="L23" i="6"/>
  <c r="B4" i="6"/>
  <c r="L17" i="6"/>
  <c r="B2" i="6"/>
  <c r="C2" i="10" s="1"/>
  <c r="F2" i="10" s="1"/>
  <c r="L18" i="6"/>
  <c r="L8" i="6"/>
  <c r="L16" i="6"/>
  <c r="L24" i="6"/>
  <c r="B3" i="6"/>
  <c r="L9" i="6"/>
  <c r="L25" i="6"/>
  <c r="L52" i="6"/>
  <c r="M19" i="6"/>
  <c r="L45" i="6"/>
  <c r="L37" i="6"/>
  <c r="L29" i="6"/>
  <c r="B12" i="6"/>
  <c r="C12" i="6" s="1"/>
  <c r="C24" i="6"/>
  <c r="B15" i="6"/>
  <c r="B20" i="6"/>
  <c r="C20" i="6"/>
  <c r="M31" i="6"/>
  <c r="M6" i="6"/>
  <c r="B11" i="6"/>
  <c r="C11" i="6" s="1"/>
  <c r="B22" i="6"/>
  <c r="C22" i="6"/>
  <c r="C14" i="6"/>
  <c r="M7" i="6"/>
  <c r="M49" i="6"/>
  <c r="M17" i="6"/>
  <c r="M50" i="6"/>
  <c r="M42" i="6"/>
  <c r="M33" i="6"/>
  <c r="M26" i="6"/>
  <c r="C15" i="6"/>
  <c r="M23" i="6"/>
  <c r="M47" i="6"/>
  <c r="M15" i="6"/>
  <c r="M4" i="6"/>
  <c r="M5" i="6"/>
  <c r="B21" i="6"/>
  <c r="M27" i="6"/>
  <c r="M10" i="6"/>
  <c r="M43" i="6"/>
  <c r="M35" i="6"/>
  <c r="B14" i="6"/>
  <c r="C21" i="6"/>
  <c r="M18" i="6"/>
  <c r="M38" i="6"/>
  <c r="M24" i="6"/>
  <c r="M46" i="6"/>
  <c r="M30" i="6"/>
  <c r="B24" i="6"/>
  <c r="C25" i="6"/>
  <c r="B26" i="6"/>
  <c r="C26" i="6"/>
  <c r="B16" i="6"/>
  <c r="C16" i="6" s="1"/>
  <c r="C18" i="6"/>
  <c r="B25" i="6"/>
  <c r="B17" i="6"/>
  <c r="C17" i="6"/>
  <c r="B18" i="6"/>
  <c r="M22" i="6"/>
  <c r="M39" i="6"/>
  <c r="M51" i="6"/>
  <c r="M8" i="6"/>
  <c r="M14" i="6"/>
  <c r="M9" i="6"/>
  <c r="M34" i="6"/>
  <c r="M48" i="6"/>
  <c r="M25" i="6"/>
  <c r="M40" i="6"/>
  <c r="M16" i="6"/>
  <c r="M41" i="6"/>
  <c r="M32" i="6"/>
  <c r="M12" i="6"/>
  <c r="M20" i="6"/>
  <c r="M28" i="6"/>
  <c r="M36" i="6"/>
  <c r="M44" i="6"/>
  <c r="M13" i="6"/>
  <c r="M21" i="6"/>
  <c r="M29" i="6"/>
  <c r="M37" i="6"/>
  <c r="M45" i="6"/>
  <c r="D3" i="8" l="1"/>
  <c r="C4" i="8" s="1"/>
  <c r="C4" i="12" s="1"/>
  <c r="D4" i="12" s="1"/>
  <c r="D5" i="12" s="1"/>
  <c r="B5" i="6"/>
  <c r="B6" i="6"/>
  <c r="C5" i="6"/>
  <c r="C7" i="6"/>
  <c r="D4" i="8"/>
  <c r="C5" i="8" s="1"/>
  <c r="C5" i="12" s="1"/>
  <c r="D5" i="8" l="1"/>
  <c r="C6" i="8" s="1"/>
  <c r="C6" i="12" s="1"/>
  <c r="D6" i="12" s="1"/>
  <c r="O4" i="6"/>
  <c r="B8" i="6"/>
  <c r="D6" i="8" l="1"/>
  <c r="C7" i="8" s="1"/>
  <c r="C7" i="12" s="1"/>
  <c r="D7" i="12" s="1"/>
  <c r="P4" i="6"/>
  <c r="B4" i="7" s="1"/>
  <c r="K4" i="7" l="1"/>
  <c r="D7" i="8"/>
  <c r="C8" i="8" s="1"/>
  <c r="C8" i="12" s="1"/>
  <c r="D8" i="12" s="1"/>
  <c r="N5" i="6"/>
  <c r="O5" i="6" s="1"/>
  <c r="P5" i="6" s="1"/>
  <c r="D8" i="8" l="1"/>
  <c r="B5" i="7"/>
  <c r="N6" i="6"/>
  <c r="O6" i="6" s="1"/>
  <c r="C9" i="8" l="1"/>
  <c r="K5" i="7"/>
  <c r="P6" i="6"/>
  <c r="N7" i="6" s="1"/>
  <c r="O7" i="6" s="1"/>
  <c r="D9" i="8" l="1"/>
  <c r="C9" i="12"/>
  <c r="D9" i="12" s="1"/>
  <c r="C10" i="8"/>
  <c r="B6" i="7"/>
  <c r="D10" i="8" l="1"/>
  <c r="C11" i="8" s="1"/>
  <c r="C10" i="12"/>
  <c r="D10" i="12"/>
  <c r="K6" i="7"/>
  <c r="P7" i="6"/>
  <c r="B7" i="7" s="1"/>
  <c r="K7" i="7" s="1"/>
  <c r="D11" i="8" l="1"/>
  <c r="C12" i="8" s="1"/>
  <c r="C11" i="12"/>
  <c r="D11" i="12" s="1"/>
  <c r="N8" i="6"/>
  <c r="O8" i="6" s="1"/>
  <c r="D12" i="8" l="1"/>
  <c r="C13" i="8" s="1"/>
  <c r="C12" i="12"/>
  <c r="D12" i="12" s="1"/>
  <c r="P8" i="6"/>
  <c r="B8" i="7" s="1"/>
  <c r="D13" i="12" l="1"/>
  <c r="C13" i="12"/>
  <c r="D13" i="8"/>
  <c r="C14" i="8" s="1"/>
  <c r="K8" i="7"/>
  <c r="N9" i="6"/>
  <c r="O9" i="6" s="1"/>
  <c r="C14" i="12" l="1"/>
  <c r="D14" i="8"/>
  <c r="C15" i="8" s="1"/>
  <c r="D14" i="12"/>
  <c r="P9" i="6"/>
  <c r="B9" i="7" s="1"/>
  <c r="C15" i="12" l="1"/>
  <c r="D15" i="12" s="1"/>
  <c r="D15" i="8"/>
  <c r="C16" i="8" s="1"/>
  <c r="K9" i="7"/>
  <c r="N10" i="6"/>
  <c r="C16" i="12" l="1"/>
  <c r="D16" i="12" s="1"/>
  <c r="D16" i="8"/>
  <c r="C17" i="8" s="1"/>
  <c r="O10" i="6"/>
  <c r="P10" i="6" s="1"/>
  <c r="C17" i="12" l="1"/>
  <c r="D17" i="8"/>
  <c r="C18" i="8" s="1"/>
  <c r="D17" i="12"/>
  <c r="B10" i="7"/>
  <c r="K10" i="7" s="1"/>
  <c r="N11" i="6"/>
  <c r="C18" i="12" l="1"/>
  <c r="D18" i="8"/>
  <c r="C19" i="8" s="1"/>
  <c r="D18" i="12"/>
  <c r="O11" i="6"/>
  <c r="P11" i="6" s="1"/>
  <c r="C19" i="12" l="1"/>
  <c r="D19" i="8"/>
  <c r="C20" i="8" s="1"/>
  <c r="D19" i="12"/>
  <c r="N12" i="6"/>
  <c r="O12" i="6" s="1"/>
  <c r="P12" i="6" s="1"/>
  <c r="B12" i="7" s="1"/>
  <c r="K12" i="7" s="1"/>
  <c r="B11" i="7"/>
  <c r="K11" i="7" s="1"/>
  <c r="C20" i="12" l="1"/>
  <c r="D20" i="8"/>
  <c r="C21" i="8" s="1"/>
  <c r="D20" i="12"/>
  <c r="N13" i="6"/>
  <c r="O13" i="6" s="1"/>
  <c r="P13" i="6" s="1"/>
  <c r="C21" i="12" l="1"/>
  <c r="D21" i="8"/>
  <c r="C22" i="8" s="1"/>
  <c r="D21" i="12"/>
  <c r="N14" i="6"/>
  <c r="O14" i="6" s="1"/>
  <c r="B13" i="7"/>
  <c r="K13" i="7" s="1"/>
  <c r="C22" i="12" l="1"/>
  <c r="D22" i="12" s="1"/>
  <c r="D22" i="8"/>
  <c r="C23" i="8" s="1"/>
  <c r="P14" i="6"/>
  <c r="C23" i="12" l="1"/>
  <c r="D23" i="12" s="1"/>
  <c r="D23" i="8"/>
  <c r="C24" i="8" s="1"/>
  <c r="B14" i="7"/>
  <c r="K14" i="7" s="1"/>
  <c r="N15" i="6"/>
  <c r="O15" i="6" s="1"/>
  <c r="C24" i="12" l="1"/>
  <c r="D24" i="12" s="1"/>
  <c r="D24" i="8"/>
  <c r="C25" i="8" s="1"/>
  <c r="P15" i="6"/>
  <c r="C25" i="12" l="1"/>
  <c r="D25" i="12" s="1"/>
  <c r="D25" i="8"/>
  <c r="C26" i="8" s="1"/>
  <c r="B15" i="7"/>
  <c r="K15" i="7" s="1"/>
  <c r="N16" i="6"/>
  <c r="O16" i="6" s="1"/>
  <c r="C26" i="12" l="1"/>
  <c r="D26" i="12" s="1"/>
  <c r="D26" i="8"/>
  <c r="C27" i="8" s="1"/>
  <c r="P16" i="6"/>
  <c r="C27" i="12" l="1"/>
  <c r="D27" i="12" s="1"/>
  <c r="D27" i="8"/>
  <c r="C28" i="8" s="1"/>
  <c r="B16" i="7"/>
  <c r="K16" i="7" s="1"/>
  <c r="N17" i="6"/>
  <c r="O17" i="6" s="1"/>
  <c r="C28" i="12" l="1"/>
  <c r="D28" i="12" s="1"/>
  <c r="D28" i="8"/>
  <c r="C29" i="8" s="1"/>
  <c r="P17" i="6"/>
  <c r="C29" i="12" l="1"/>
  <c r="D29" i="12" s="1"/>
  <c r="D29" i="8"/>
  <c r="C30" i="8" s="1"/>
  <c r="N18" i="6"/>
  <c r="O18" i="6" s="1"/>
  <c r="B17" i="7"/>
  <c r="K17" i="7" s="1"/>
  <c r="C30" i="12" l="1"/>
  <c r="D30" i="12" s="1"/>
  <c r="D30" i="8"/>
  <c r="C31" i="8" s="1"/>
  <c r="P18" i="6"/>
  <c r="C31" i="12" l="1"/>
  <c r="D31" i="12" s="1"/>
  <c r="D31" i="8"/>
  <c r="C32" i="8" s="1"/>
  <c r="B18" i="7"/>
  <c r="K18" i="7" s="1"/>
  <c r="N19" i="6"/>
  <c r="O19" i="6" s="1"/>
  <c r="C32" i="12" l="1"/>
  <c r="D32" i="12" s="1"/>
  <c r="D32" i="8"/>
  <c r="C33" i="8" s="1"/>
  <c r="P19" i="6"/>
  <c r="C33" i="12" l="1"/>
  <c r="D33" i="12" s="1"/>
  <c r="D33" i="8"/>
  <c r="C34" i="8" s="1"/>
  <c r="N20" i="6"/>
  <c r="O20" i="6" s="1"/>
  <c r="B19" i="7"/>
  <c r="K19" i="7" s="1"/>
  <c r="C34" i="12" l="1"/>
  <c r="D34" i="12" s="1"/>
  <c r="D34" i="8"/>
  <c r="C35" i="8" s="1"/>
  <c r="P20" i="6"/>
  <c r="C35" i="12" l="1"/>
  <c r="D35" i="12" s="1"/>
  <c r="D35" i="8"/>
  <c r="C36" i="8" s="1"/>
  <c r="B20" i="7"/>
  <c r="K20" i="7" s="1"/>
  <c r="N21" i="6"/>
  <c r="O21" i="6" s="1"/>
  <c r="C36" i="12" l="1"/>
  <c r="D36" i="12" s="1"/>
  <c r="D36" i="8"/>
  <c r="C37" i="8" s="1"/>
  <c r="P21" i="6"/>
  <c r="C37" i="12" l="1"/>
  <c r="D37" i="12" s="1"/>
  <c r="D37" i="8"/>
  <c r="C38" i="8" s="1"/>
  <c r="N22" i="6"/>
  <c r="O22" i="6" s="1"/>
  <c r="B21" i="7"/>
  <c r="K21" i="7" s="1"/>
  <c r="C38" i="12" l="1"/>
  <c r="D38" i="12" s="1"/>
  <c r="D38" i="8"/>
  <c r="C39" i="8" s="1"/>
  <c r="P22" i="6"/>
  <c r="C39" i="12" l="1"/>
  <c r="D39" i="12" s="1"/>
  <c r="D39" i="8"/>
  <c r="C40" i="8" s="1"/>
  <c r="B22" i="7"/>
  <c r="K22" i="7" s="1"/>
  <c r="N23" i="6"/>
  <c r="O23" i="6" s="1"/>
  <c r="C40" i="12" l="1"/>
  <c r="D40" i="12" s="1"/>
  <c r="D40" i="8"/>
  <c r="C41" i="8" s="1"/>
  <c r="P23" i="6"/>
  <c r="C41" i="12" l="1"/>
  <c r="D41" i="12" s="1"/>
  <c r="D41" i="8"/>
  <c r="C42" i="8" s="1"/>
  <c r="N24" i="6"/>
  <c r="O24" i="6" s="1"/>
  <c r="B23" i="7"/>
  <c r="K23" i="7" s="1"/>
  <c r="B25" i="3"/>
  <c r="B24" i="3"/>
  <c r="B11" i="3"/>
  <c r="B40" i="3"/>
  <c r="B41" i="3"/>
  <c r="B39" i="3"/>
  <c r="C42" i="12" l="1"/>
  <c r="D42" i="12" s="1"/>
  <c r="D42" i="8"/>
  <c r="C43" i="8" s="1"/>
  <c r="P24" i="6"/>
  <c r="B30" i="2"/>
  <c r="B38" i="3" s="1"/>
  <c r="C43" i="12" l="1"/>
  <c r="D43" i="12" s="1"/>
  <c r="D43" i="8"/>
  <c r="C44" i="8" s="1"/>
  <c r="B24" i="7"/>
  <c r="K24" i="7" s="1"/>
  <c r="N25" i="6"/>
  <c r="O25" i="6" s="1"/>
  <c r="B25" i="2"/>
  <c r="B33" i="3" s="1"/>
  <c r="B14" i="2"/>
  <c r="B19" i="3" s="1"/>
  <c r="B4" i="2"/>
  <c r="B7" i="3" s="1"/>
  <c r="B7" i="2"/>
  <c r="B10" i="3" s="1"/>
  <c r="B17" i="2"/>
  <c r="B22" i="3" s="1"/>
  <c r="B28" i="2"/>
  <c r="B36" i="3" s="1"/>
  <c r="B16" i="2"/>
  <c r="B21" i="3" s="1"/>
  <c r="B27" i="2"/>
  <c r="B35" i="3" s="1"/>
  <c r="B6" i="2"/>
  <c r="B9" i="3" s="1"/>
  <c r="B15" i="2"/>
  <c r="B20" i="3" s="1"/>
  <c r="B26" i="2"/>
  <c r="B34" i="3" s="1"/>
  <c r="B5" i="2"/>
  <c r="B8" i="3" s="1"/>
  <c r="B3" i="2"/>
  <c r="B6" i="3" s="1"/>
  <c r="B13" i="2"/>
  <c r="B18" i="3" s="1"/>
  <c r="B24" i="2"/>
  <c r="B32" i="3" s="1"/>
  <c r="B18" i="2"/>
  <c r="B23" i="3" s="1"/>
  <c r="B29" i="2"/>
  <c r="B37" i="3" s="1"/>
  <c r="E3" i="5"/>
  <c r="E5" i="5"/>
  <c r="AF5" i="5" s="1"/>
  <c r="E7" i="5"/>
  <c r="AF7" i="5" s="1"/>
  <c r="E6" i="5"/>
  <c r="AF6" i="5" s="1"/>
  <c r="E12" i="5"/>
  <c r="AF12" i="5" s="1"/>
  <c r="E11" i="5"/>
  <c r="AF11" i="5" s="1"/>
  <c r="E18" i="5"/>
  <c r="AF18" i="5" s="1"/>
  <c r="E4" i="5"/>
  <c r="AF4" i="5" s="1"/>
  <c r="E15" i="5"/>
  <c r="AF15" i="5" s="1"/>
  <c r="E19" i="5"/>
  <c r="AF19" i="5" s="1"/>
  <c r="E13" i="5"/>
  <c r="AF13" i="5" s="1"/>
  <c r="E22" i="5"/>
  <c r="AF22" i="5" s="1"/>
  <c r="E16" i="5"/>
  <c r="AF16" i="5" s="1"/>
  <c r="E8" i="5"/>
  <c r="AF8" i="5" s="1"/>
  <c r="E20" i="5"/>
  <c r="AF20" i="5" s="1"/>
  <c r="E21" i="5"/>
  <c r="AF21" i="5" s="1"/>
  <c r="E14" i="5"/>
  <c r="AF14" i="5" s="1"/>
  <c r="E17" i="5"/>
  <c r="AF17" i="5" s="1"/>
  <c r="E9" i="5"/>
  <c r="AF9" i="5" s="1"/>
  <c r="E10" i="5"/>
  <c r="AF10" i="5" s="1"/>
  <c r="K5" i="5"/>
  <c r="L5" i="5"/>
  <c r="K3" i="5"/>
  <c r="L3" i="5"/>
  <c r="K15" i="5"/>
  <c r="L15" i="5"/>
  <c r="K20" i="5"/>
  <c r="L20" i="5"/>
  <c r="K17" i="5"/>
  <c r="L17" i="5"/>
  <c r="L14" i="5"/>
  <c r="K14" i="5"/>
  <c r="K13" i="5"/>
  <c r="L13" i="5"/>
  <c r="K21" i="5"/>
  <c r="L21" i="5"/>
  <c r="K19" i="5"/>
  <c r="L19" i="5"/>
  <c r="L18" i="5"/>
  <c r="K18" i="5"/>
  <c r="L9" i="5"/>
  <c r="K9" i="5"/>
  <c r="K8" i="5"/>
  <c r="L8" i="5"/>
  <c r="K4" i="5"/>
  <c r="L4" i="5"/>
  <c r="K10" i="5"/>
  <c r="L10" i="5"/>
  <c r="K7" i="5"/>
  <c r="L7" i="5"/>
  <c r="K12" i="5"/>
  <c r="L12" i="5"/>
  <c r="K6" i="5"/>
  <c r="L6" i="5"/>
  <c r="K16" i="5"/>
  <c r="L16" i="5"/>
  <c r="K11" i="5"/>
  <c r="L11" i="5"/>
  <c r="L22" i="5"/>
  <c r="K22" i="5"/>
  <c r="C44" i="12" l="1"/>
  <c r="D44" i="12" s="1"/>
  <c r="D44" i="8"/>
  <c r="C45" i="8" s="1"/>
  <c r="H3" i="5"/>
  <c r="F3" i="5" s="1"/>
  <c r="H11" i="5"/>
  <c r="H4" i="5"/>
  <c r="G4" i="5" s="1"/>
  <c r="H12" i="5"/>
  <c r="G12" i="5" s="1"/>
  <c r="H20" i="5"/>
  <c r="F20" i="5" s="1"/>
  <c r="H5" i="5"/>
  <c r="H13" i="5"/>
  <c r="F13" i="5" s="1"/>
  <c r="H21" i="5"/>
  <c r="F21" i="5" s="1"/>
  <c r="H6" i="5"/>
  <c r="G6" i="5" s="1"/>
  <c r="H14" i="5"/>
  <c r="H22" i="5"/>
  <c r="H7" i="5"/>
  <c r="G7" i="5" s="1"/>
  <c r="H15" i="5"/>
  <c r="F15" i="5" s="1"/>
  <c r="H8" i="5"/>
  <c r="H16" i="5"/>
  <c r="F16" i="5" s="1"/>
  <c r="H9" i="5"/>
  <c r="F9" i="5" s="1"/>
  <c r="H17" i="5"/>
  <c r="F17" i="5" s="1"/>
  <c r="H10" i="5"/>
  <c r="F10" i="5" s="1"/>
  <c r="H18" i="5"/>
  <c r="F18" i="5" s="1"/>
  <c r="H19" i="5"/>
  <c r="F19" i="5" s="1"/>
  <c r="P25" i="6"/>
  <c r="T12" i="5"/>
  <c r="AF35" i="5" s="1"/>
  <c r="T13" i="5"/>
  <c r="AF36" i="5" s="1"/>
  <c r="B4" i="3"/>
  <c r="T22" i="5"/>
  <c r="AF45" i="5" s="1"/>
  <c r="T11" i="5"/>
  <c r="AF34" i="5" s="1"/>
  <c r="T15" i="5"/>
  <c r="AF38" i="5" s="1"/>
  <c r="T19" i="5"/>
  <c r="AF42" i="5" s="1"/>
  <c r="T20" i="5"/>
  <c r="AF43" i="5" s="1"/>
  <c r="T9" i="5"/>
  <c r="AF32" i="5" s="1"/>
  <c r="T17" i="5"/>
  <c r="AF40" i="5" s="1"/>
  <c r="T16" i="5"/>
  <c r="AF39" i="5" s="1"/>
  <c r="T10" i="5"/>
  <c r="AF33" i="5" s="1"/>
  <c r="T21" i="5"/>
  <c r="AF44" i="5" s="1"/>
  <c r="T18" i="5"/>
  <c r="AF41" i="5" s="1"/>
  <c r="T14" i="5"/>
  <c r="AF37" i="5" s="1"/>
  <c r="T7" i="5"/>
  <c r="AF30" i="5" s="1"/>
  <c r="T8" i="5"/>
  <c r="AF31" i="5" s="1"/>
  <c r="T6" i="5"/>
  <c r="AF29" i="5" s="1"/>
  <c r="T5" i="5"/>
  <c r="AH27" i="5"/>
  <c r="AG27" i="5" s="1"/>
  <c r="Z4" i="5" s="1"/>
  <c r="B17" i="3"/>
  <c r="B29" i="3"/>
  <c r="B17" i="1" s="1"/>
  <c r="B28" i="3"/>
  <c r="B16" i="1" s="1"/>
  <c r="B31" i="3"/>
  <c r="B19" i="1" s="1"/>
  <c r="B30" i="3"/>
  <c r="B18" i="1" s="1"/>
  <c r="B3" i="3"/>
  <c r="B3" i="1" s="1"/>
  <c r="B2" i="3"/>
  <c r="B2" i="1" s="1"/>
  <c r="B16" i="3"/>
  <c r="B10" i="1" s="1"/>
  <c r="B15" i="3"/>
  <c r="B9" i="1" s="1"/>
  <c r="B14" i="3"/>
  <c r="B8" i="1" s="1"/>
  <c r="B5" i="3"/>
  <c r="G5" i="5"/>
  <c r="F11" i="5"/>
  <c r="AF3" i="5"/>
  <c r="AH3" i="5" s="1"/>
  <c r="F14" i="5"/>
  <c r="F8" i="5"/>
  <c r="F22" i="5"/>
  <c r="AA4" i="5"/>
  <c r="AB4" i="5"/>
  <c r="AA5" i="5"/>
  <c r="AB5" i="5"/>
  <c r="AA14" i="5"/>
  <c r="AB14" i="5"/>
  <c r="AA13" i="5"/>
  <c r="AB13" i="5"/>
  <c r="AB7" i="5"/>
  <c r="AA7" i="5"/>
  <c r="AA17" i="5"/>
  <c r="AB17" i="5"/>
  <c r="AA22" i="5"/>
  <c r="AB22" i="5"/>
  <c r="AA20" i="5"/>
  <c r="AB20" i="5"/>
  <c r="AA11" i="5"/>
  <c r="AB11" i="5"/>
  <c r="AA6" i="5"/>
  <c r="AB6" i="5"/>
  <c r="AA21" i="5"/>
  <c r="AB21" i="5"/>
  <c r="AB23" i="5"/>
  <c r="AA23" i="5"/>
  <c r="AA15" i="5"/>
  <c r="AB15" i="5"/>
  <c r="AA9" i="5"/>
  <c r="AB9" i="5"/>
  <c r="AA19" i="5"/>
  <c r="AB19" i="5"/>
  <c r="AA12" i="5"/>
  <c r="AB12" i="5"/>
  <c r="AB18" i="5"/>
  <c r="AA18" i="5"/>
  <c r="AA16" i="5"/>
  <c r="AB16" i="5"/>
  <c r="AA10" i="5"/>
  <c r="AB10" i="5"/>
  <c r="AA8" i="5"/>
  <c r="AB8" i="5"/>
  <c r="F7" i="5" l="1"/>
  <c r="C45" i="12"/>
  <c r="D45" i="12" s="1"/>
  <c r="D45" i="8"/>
  <c r="C46" i="8" s="1"/>
  <c r="G9" i="5"/>
  <c r="F4" i="5"/>
  <c r="AF28" i="5"/>
  <c r="AI28" i="5" s="1"/>
  <c r="AG28" i="5" s="1"/>
  <c r="Z5" i="5" s="1"/>
  <c r="W23" i="5"/>
  <c r="W17" i="5"/>
  <c r="W16" i="5"/>
  <c r="V16" i="5" s="1"/>
  <c r="W10" i="5"/>
  <c r="U10" i="5" s="1"/>
  <c r="W13" i="5"/>
  <c r="U13" i="5" s="1"/>
  <c r="W7" i="5"/>
  <c r="U7" i="5" s="1"/>
  <c r="W21" i="5"/>
  <c r="V21" i="5" s="1"/>
  <c r="W6" i="5"/>
  <c r="V6" i="5" s="1"/>
  <c r="W8" i="5"/>
  <c r="U8" i="5" s="1"/>
  <c r="W11" i="5"/>
  <c r="U11" i="5" s="1"/>
  <c r="W15" i="5"/>
  <c r="U15" i="5" s="1"/>
  <c r="W18" i="5"/>
  <c r="U18" i="5" s="1"/>
  <c r="W14" i="5"/>
  <c r="U14" i="5" s="1"/>
  <c r="W12" i="5"/>
  <c r="U12" i="5" s="1"/>
  <c r="W9" i="5"/>
  <c r="U9" i="5" s="1"/>
  <c r="W22" i="5"/>
  <c r="V22" i="5" s="1"/>
  <c r="W19" i="5"/>
  <c r="U19" i="5" s="1"/>
  <c r="W20" i="5"/>
  <c r="V20" i="5" s="1"/>
  <c r="W5" i="5"/>
  <c r="V5" i="5" s="1"/>
  <c r="G3" i="5"/>
  <c r="F12" i="5"/>
  <c r="G10" i="5"/>
  <c r="B25" i="7"/>
  <c r="K25" i="7" s="1"/>
  <c r="N26" i="6"/>
  <c r="O26" i="6" s="1"/>
  <c r="G22" i="5"/>
  <c r="G11" i="5"/>
  <c r="F6" i="5"/>
  <c r="G16" i="5"/>
  <c r="G19" i="5"/>
  <c r="V4" i="5"/>
  <c r="V17" i="5"/>
  <c r="F5" i="5"/>
  <c r="G15" i="5"/>
  <c r="G8" i="5"/>
  <c r="G20" i="5"/>
  <c r="G14" i="5"/>
  <c r="G13" i="5"/>
  <c r="AI4" i="5"/>
  <c r="AG3" i="5"/>
  <c r="J3" i="5" s="1"/>
  <c r="G18" i="5"/>
  <c r="G21" i="5"/>
  <c r="G17" i="5"/>
  <c r="C46" i="12" l="1"/>
  <c r="D46" i="12" s="1"/>
  <c r="D46" i="8"/>
  <c r="C47" i="8" s="1"/>
  <c r="V23" i="5"/>
  <c r="U23" i="5"/>
  <c r="P26" i="6"/>
  <c r="U5" i="5"/>
  <c r="V18" i="5"/>
  <c r="V7" i="5"/>
  <c r="U21" i="5"/>
  <c r="V13" i="5"/>
  <c r="V10" i="5"/>
  <c r="V9" i="5"/>
  <c r="V14" i="5"/>
  <c r="U16" i="5"/>
  <c r="U4" i="5"/>
  <c r="V8" i="5"/>
  <c r="V15" i="5"/>
  <c r="V11" i="5"/>
  <c r="V19" i="5"/>
  <c r="U6" i="5"/>
  <c r="U22" i="5"/>
  <c r="V12" i="5"/>
  <c r="U17" i="5"/>
  <c r="U20" i="5"/>
  <c r="AH28" i="5"/>
  <c r="AJ29" i="5" s="1"/>
  <c r="AI29" i="5" s="1"/>
  <c r="AG4" i="5"/>
  <c r="J4" i="5" s="1"/>
  <c r="AH4" i="5"/>
  <c r="C47" i="12" l="1"/>
  <c r="D47" i="12" s="1"/>
  <c r="D47" i="8"/>
  <c r="C48" i="8" s="1"/>
  <c r="N27" i="6"/>
  <c r="O27" i="6" s="1"/>
  <c r="B26" i="7"/>
  <c r="K26" i="7" s="1"/>
  <c r="AH29" i="5"/>
  <c r="AK30" i="5" s="1"/>
  <c r="AJ30" i="5" s="1"/>
  <c r="AG29" i="5"/>
  <c r="Z6" i="5" s="1"/>
  <c r="AJ5" i="5"/>
  <c r="C48" i="12" l="1"/>
  <c r="D48" i="12" s="1"/>
  <c r="D48" i="8"/>
  <c r="C49" i="8" s="1"/>
  <c r="P27" i="6"/>
  <c r="AH30" i="5"/>
  <c r="AG30" i="5"/>
  <c r="Z7" i="5" s="1"/>
  <c r="AI30" i="5"/>
  <c r="AG5" i="5"/>
  <c r="J5" i="5" s="1"/>
  <c r="AI5" i="5"/>
  <c r="AH5" i="5"/>
  <c r="C49" i="12" l="1"/>
  <c r="D49" i="12" s="1"/>
  <c r="D49" i="8"/>
  <c r="C50" i="8" s="1"/>
  <c r="B27" i="7"/>
  <c r="K27" i="7" s="1"/>
  <c r="N28" i="6"/>
  <c r="O28" i="6" s="1"/>
  <c r="AL31" i="5"/>
  <c r="AK31" i="5" s="1"/>
  <c r="AK6" i="5"/>
  <c r="AG6" i="5" s="1"/>
  <c r="J6" i="5" s="1"/>
  <c r="C50" i="12" l="1"/>
  <c r="D50" i="12" s="1"/>
  <c r="D50" i="8"/>
  <c r="C51" i="8" s="1"/>
  <c r="P28" i="6"/>
  <c r="AH31" i="5"/>
  <c r="AG31" i="5"/>
  <c r="Z8" i="5" s="1"/>
  <c r="AI31" i="5"/>
  <c r="AJ31" i="5"/>
  <c r="AI6" i="5"/>
  <c r="AJ6" i="5"/>
  <c r="AH6" i="5"/>
  <c r="C52" i="8" l="1"/>
  <c r="C51" i="12"/>
  <c r="D51" i="12" s="1"/>
  <c r="N21" i="12" s="1"/>
  <c r="D51" i="8"/>
  <c r="B28" i="7"/>
  <c r="K28" i="7" s="1"/>
  <c r="N29" i="6"/>
  <c r="O29" i="6" s="1"/>
  <c r="AM32" i="5"/>
  <c r="AL32" i="5" s="1"/>
  <c r="AL7" i="5"/>
  <c r="AJ7" i="5" s="1"/>
  <c r="C53" i="8" l="1"/>
  <c r="C52" i="12"/>
  <c r="P29" i="6"/>
  <c r="AH32" i="5"/>
  <c r="AK32" i="5"/>
  <c r="AJ32" i="5"/>
  <c r="AG32" i="5"/>
  <c r="Z9" i="5" s="1"/>
  <c r="AI32" i="5"/>
  <c r="AH7" i="5"/>
  <c r="AI7" i="5"/>
  <c r="AK7" i="5"/>
  <c r="AG7" i="5"/>
  <c r="J7" i="5" s="1"/>
  <c r="E52" i="12" l="1"/>
  <c r="F52" i="12"/>
  <c r="C54" i="8"/>
  <c r="C53" i="12"/>
  <c r="N30" i="6"/>
  <c r="O30" i="6" s="1"/>
  <c r="B29" i="7"/>
  <c r="K29" i="7" s="1"/>
  <c r="AN33" i="5"/>
  <c r="AK33" i="5" s="1"/>
  <c r="AM8" i="5"/>
  <c r="AI8" i="5" s="1"/>
  <c r="F53" i="12" l="1"/>
  <c r="E53" i="12"/>
  <c r="C55" i="8"/>
  <c r="C54" i="12"/>
  <c r="P30" i="6"/>
  <c r="AM33" i="5"/>
  <c r="AL33" i="5"/>
  <c r="AG33" i="5"/>
  <c r="Z10" i="5" s="1"/>
  <c r="AI33" i="5"/>
  <c r="AJ33" i="5"/>
  <c r="AH33" i="5"/>
  <c r="AJ8" i="5"/>
  <c r="AG8" i="5"/>
  <c r="J8" i="5" s="1"/>
  <c r="AH8" i="5"/>
  <c r="AL8" i="5"/>
  <c r="AK8" i="5"/>
  <c r="E54" i="12" l="1"/>
  <c r="F54" i="12"/>
  <c r="C56" i="8"/>
  <c r="C55" i="12"/>
  <c r="B30" i="7"/>
  <c r="K30" i="7" s="1"/>
  <c r="N31" i="6"/>
  <c r="O31" i="6" s="1"/>
  <c r="AO34" i="5"/>
  <c r="AN34" i="5" s="1"/>
  <c r="AN9" i="5"/>
  <c r="AH9" i="5" s="1"/>
  <c r="E55" i="12" l="1"/>
  <c r="F55" i="12"/>
  <c r="C57" i="8"/>
  <c r="C56" i="12"/>
  <c r="P31" i="6"/>
  <c r="AL34" i="5"/>
  <c r="AI34" i="5"/>
  <c r="AJ34" i="5"/>
  <c r="AK34" i="5"/>
  <c r="AG34" i="5"/>
  <c r="Z11" i="5" s="1"/>
  <c r="AH34" i="5"/>
  <c r="AM34" i="5"/>
  <c r="AJ9" i="5"/>
  <c r="AM9" i="5"/>
  <c r="AL9" i="5"/>
  <c r="AG9" i="5"/>
  <c r="J9" i="5" s="1"/>
  <c r="AK9" i="5"/>
  <c r="AI9" i="5"/>
  <c r="F56" i="12" l="1"/>
  <c r="E56" i="12"/>
  <c r="C58" i="8"/>
  <c r="C57" i="12"/>
  <c r="B31" i="7"/>
  <c r="K31" i="7" s="1"/>
  <c r="N32" i="6"/>
  <c r="O32" i="6" s="1"/>
  <c r="AP35" i="5"/>
  <c r="AO35" i="5" s="1"/>
  <c r="AO10" i="5"/>
  <c r="AM10" i="5" s="1"/>
  <c r="E57" i="12" l="1"/>
  <c r="F57" i="12"/>
  <c r="C59" i="8"/>
  <c r="C58" i="12"/>
  <c r="P32" i="6"/>
  <c r="AH35" i="5"/>
  <c r="AM35" i="5"/>
  <c r="AI35" i="5"/>
  <c r="AG35" i="5"/>
  <c r="Z12" i="5" s="1"/>
  <c r="AL35" i="5"/>
  <c r="AJ35" i="5"/>
  <c r="AK35" i="5"/>
  <c r="AN35" i="5"/>
  <c r="AK10" i="5"/>
  <c r="AL10" i="5"/>
  <c r="AI10" i="5"/>
  <c r="AN10" i="5"/>
  <c r="AH10" i="5"/>
  <c r="AG10" i="5"/>
  <c r="J10" i="5" s="1"/>
  <c r="AJ10" i="5"/>
  <c r="F58" i="12" l="1"/>
  <c r="E58" i="12"/>
  <c r="C60" i="8"/>
  <c r="C59" i="12"/>
  <c r="N33" i="6"/>
  <c r="O33" i="6" s="1"/>
  <c r="B32" i="7"/>
  <c r="K32" i="7" s="1"/>
  <c r="AQ36" i="5"/>
  <c r="AJ36" i="5" s="1"/>
  <c r="AP11" i="5"/>
  <c r="AL11" i="5" s="1"/>
  <c r="E59" i="12" l="1"/>
  <c r="F59" i="12"/>
  <c r="C61" i="8"/>
  <c r="C61" i="12" s="1"/>
  <c r="C60" i="12"/>
  <c r="AL36" i="5"/>
  <c r="AH36" i="5"/>
  <c r="AG36" i="5"/>
  <c r="Z13" i="5" s="1"/>
  <c r="AM36" i="5"/>
  <c r="AI36" i="5"/>
  <c r="AN36" i="5"/>
  <c r="AO36" i="5"/>
  <c r="AP36" i="5"/>
  <c r="AK36" i="5"/>
  <c r="AK11" i="5"/>
  <c r="AM11" i="5"/>
  <c r="AI11" i="5"/>
  <c r="AH11" i="5"/>
  <c r="AJ11" i="5"/>
  <c r="AN11" i="5"/>
  <c r="AO11" i="5"/>
  <c r="AG11" i="5"/>
  <c r="J11" i="5" s="1"/>
  <c r="E60" i="12" l="1"/>
  <c r="F60" i="12"/>
  <c r="F61" i="12"/>
  <c r="E61" i="12"/>
  <c r="P33" i="6"/>
  <c r="AR37" i="5"/>
  <c r="AP37" i="5" s="1"/>
  <c r="AQ12" i="5"/>
  <c r="AH12" i="5" s="1"/>
  <c r="N34" i="6" l="1"/>
  <c r="O34" i="6" s="1"/>
  <c r="B33" i="7"/>
  <c r="AL12" i="5"/>
  <c r="AN12" i="5"/>
  <c r="AO12" i="5"/>
  <c r="AI12" i="5"/>
  <c r="AP12" i="5"/>
  <c r="AK12" i="5"/>
  <c r="AG12" i="5"/>
  <c r="J12" i="5" s="1"/>
  <c r="AJ12" i="5"/>
  <c r="AM12" i="5"/>
  <c r="AL37" i="5"/>
  <c r="AH37" i="5"/>
  <c r="AO37" i="5"/>
  <c r="AI37" i="5"/>
  <c r="AJ37" i="5"/>
  <c r="AQ37" i="5"/>
  <c r="AN37" i="5"/>
  <c r="AM37" i="5"/>
  <c r="AK37" i="5"/>
  <c r="AG37" i="5"/>
  <c r="Z14" i="5" s="1"/>
  <c r="AR13" i="5" l="1"/>
  <c r="AN13" i="5" s="1"/>
  <c r="K33" i="7"/>
  <c r="P34" i="6"/>
  <c r="AS38" i="5"/>
  <c r="AP38" i="5" s="1"/>
  <c r="AI13" i="5" l="1"/>
  <c r="AG13" i="5"/>
  <c r="J13" i="5" s="1"/>
  <c r="AH13" i="5"/>
  <c r="AL13" i="5"/>
  <c r="AM13" i="5"/>
  <c r="AO13" i="5"/>
  <c r="AK13" i="5"/>
  <c r="AQ13" i="5"/>
  <c r="AP13" i="5"/>
  <c r="AJ13" i="5"/>
  <c r="AI38" i="5"/>
  <c r="AH38" i="5"/>
  <c r="AG38" i="5"/>
  <c r="Z15" i="5" s="1"/>
  <c r="N35" i="6"/>
  <c r="O35" i="6" s="1"/>
  <c r="B34" i="7"/>
  <c r="AQ38" i="5"/>
  <c r="AJ38" i="5"/>
  <c r="AN38" i="5"/>
  <c r="AR38" i="5"/>
  <c r="AK38" i="5"/>
  <c r="AM38" i="5"/>
  <c r="AO38" i="5"/>
  <c r="AL38" i="5"/>
  <c r="AS14" i="5" l="1"/>
  <c r="AQ14" i="5" s="1"/>
  <c r="K34" i="7"/>
  <c r="AT39" i="5"/>
  <c r="AO39" i="5" s="1"/>
  <c r="AH14" i="5" l="1"/>
  <c r="AI14" i="5"/>
  <c r="AM14" i="5"/>
  <c r="AL14" i="5"/>
  <c r="AP14" i="5"/>
  <c r="AN14" i="5"/>
  <c r="AJ14" i="5"/>
  <c r="AG14" i="5"/>
  <c r="J14" i="5" s="1"/>
  <c r="AR14" i="5"/>
  <c r="AO14" i="5"/>
  <c r="AK14" i="5"/>
  <c r="P35" i="6"/>
  <c r="AR39" i="5"/>
  <c r="AP39" i="5"/>
  <c r="AS39" i="5"/>
  <c r="AK39" i="5"/>
  <c r="AJ39" i="5"/>
  <c r="AG39" i="5"/>
  <c r="Z16" i="5" s="1"/>
  <c r="AN39" i="5"/>
  <c r="AI39" i="5"/>
  <c r="AH39" i="5"/>
  <c r="AM39" i="5"/>
  <c r="AQ39" i="5"/>
  <c r="AL39" i="5"/>
  <c r="AT15" i="5" l="1"/>
  <c r="AR15" i="5" s="1"/>
  <c r="B35" i="7"/>
  <c r="N36" i="6"/>
  <c r="O36" i="6" s="1"/>
  <c r="AU40" i="5"/>
  <c r="AT40" i="5" s="1"/>
  <c r="AN15" i="5" l="1"/>
  <c r="AH15" i="5"/>
  <c r="AO15" i="5"/>
  <c r="AI15" i="5"/>
  <c r="AJ15" i="5"/>
  <c r="AK15" i="5"/>
  <c r="AP15" i="5"/>
  <c r="AL15" i="5"/>
  <c r="AU16" i="5" s="1"/>
  <c r="AI16" i="5" s="1"/>
  <c r="AG15" i="5"/>
  <c r="J15" i="5" s="1"/>
  <c r="AS15" i="5"/>
  <c r="AQ15" i="5"/>
  <c r="AM15" i="5"/>
  <c r="P36" i="6"/>
  <c r="K35" i="7"/>
  <c r="AI40" i="5"/>
  <c r="AJ40" i="5"/>
  <c r="AO40" i="5"/>
  <c r="AQ40" i="5"/>
  <c r="AR40" i="5"/>
  <c r="AG40" i="5"/>
  <c r="Z17" i="5" s="1"/>
  <c r="AK40" i="5"/>
  <c r="AL40" i="5"/>
  <c r="AN40" i="5"/>
  <c r="AS40" i="5"/>
  <c r="AM40" i="5"/>
  <c r="AH40" i="5"/>
  <c r="AP40" i="5"/>
  <c r="N37" i="6" l="1"/>
  <c r="O37" i="6" s="1"/>
  <c r="B36" i="7"/>
  <c r="AV41" i="5"/>
  <c r="AM41" i="5" s="1"/>
  <c r="AQ16" i="5"/>
  <c r="AR16" i="5"/>
  <c r="AT16" i="5"/>
  <c r="AM16" i="5"/>
  <c r="AK16" i="5"/>
  <c r="AO16" i="5"/>
  <c r="AN16" i="5"/>
  <c r="AP16" i="5"/>
  <c r="AL16" i="5"/>
  <c r="AH16" i="5"/>
  <c r="AJ16" i="5"/>
  <c r="AS16" i="5"/>
  <c r="AG16" i="5"/>
  <c r="J16" i="5" s="1"/>
  <c r="P37" i="6" l="1"/>
  <c r="K36" i="7"/>
  <c r="AJ41" i="5"/>
  <c r="AS41" i="5"/>
  <c r="AQ41" i="5"/>
  <c r="AG41" i="5"/>
  <c r="Z18" i="5" s="1"/>
  <c r="AU41" i="5"/>
  <c r="AR41" i="5"/>
  <c r="AH41" i="5"/>
  <c r="AN41" i="5"/>
  <c r="AP41" i="5"/>
  <c r="AO41" i="5"/>
  <c r="AT41" i="5"/>
  <c r="AL41" i="5"/>
  <c r="AI41" i="5"/>
  <c r="AK41" i="5"/>
  <c r="AV17" i="5"/>
  <c r="AM17" i="5" s="1"/>
  <c r="N38" i="6" l="1"/>
  <c r="B37" i="7"/>
  <c r="K37" i="7" s="1"/>
  <c r="AW42" i="5"/>
  <c r="AP42" i="5" s="1"/>
  <c r="AJ17" i="5"/>
  <c r="AT17" i="5"/>
  <c r="AR17" i="5"/>
  <c r="AN17" i="5"/>
  <c r="AH17" i="5"/>
  <c r="AP17" i="5"/>
  <c r="AL17" i="5"/>
  <c r="AS17" i="5"/>
  <c r="AI17" i="5"/>
  <c r="AO17" i="5"/>
  <c r="AG17" i="5"/>
  <c r="J17" i="5" s="1"/>
  <c r="AK17" i="5"/>
  <c r="AU17" i="5"/>
  <c r="AQ17" i="5"/>
  <c r="O38" i="6" l="1"/>
  <c r="P38" i="6" s="1"/>
  <c r="AR42" i="5"/>
  <c r="AS42" i="5"/>
  <c r="AJ42" i="5"/>
  <c r="AG42" i="5"/>
  <c r="Z19" i="5" s="1"/>
  <c r="AU42" i="5"/>
  <c r="AK42" i="5"/>
  <c r="AH42" i="5"/>
  <c r="AT42" i="5"/>
  <c r="AI42" i="5"/>
  <c r="AO42" i="5"/>
  <c r="AQ42" i="5"/>
  <c r="AL42" i="5"/>
  <c r="AN42" i="5"/>
  <c r="AV42" i="5"/>
  <c r="AM42" i="5"/>
  <c r="AW18" i="5"/>
  <c r="AL18" i="5" s="1"/>
  <c r="B38" i="7" l="1"/>
  <c r="K38" i="7" s="1"/>
  <c r="N39" i="6"/>
  <c r="O39" i="6" s="1"/>
  <c r="P39" i="6" s="1"/>
  <c r="AX43" i="5"/>
  <c r="AO43" i="5" s="1"/>
  <c r="AT18" i="5"/>
  <c r="AS18" i="5"/>
  <c r="AP18" i="5"/>
  <c r="AJ18" i="5"/>
  <c r="AR18" i="5"/>
  <c r="AU18" i="5"/>
  <c r="AV18" i="5"/>
  <c r="AM18" i="5"/>
  <c r="AQ18" i="5"/>
  <c r="AG18" i="5"/>
  <c r="J18" i="5" s="1"/>
  <c r="AN18" i="5"/>
  <c r="AI18" i="5"/>
  <c r="AO18" i="5"/>
  <c r="AK18" i="5"/>
  <c r="AH18" i="5"/>
  <c r="B39" i="7" l="1"/>
  <c r="K39" i="7" s="1"/>
  <c r="N40" i="6"/>
  <c r="O40" i="6" s="1"/>
  <c r="AM43" i="5"/>
  <c r="AH43" i="5"/>
  <c r="AT43" i="5"/>
  <c r="AN43" i="5"/>
  <c r="AU43" i="5"/>
  <c r="AR43" i="5"/>
  <c r="AI43" i="5"/>
  <c r="AP43" i="5"/>
  <c r="AS43" i="5"/>
  <c r="AK43" i="5"/>
  <c r="AQ43" i="5"/>
  <c r="AG43" i="5"/>
  <c r="Z20" i="5" s="1"/>
  <c r="AW43" i="5"/>
  <c r="AV43" i="5"/>
  <c r="AJ43" i="5"/>
  <c r="AL43" i="5"/>
  <c r="AX19" i="5"/>
  <c r="AM19" i="5" s="1"/>
  <c r="P40" i="6" l="1"/>
  <c r="AY44" i="5"/>
  <c r="AW44" i="5" s="1"/>
  <c r="AQ19" i="5"/>
  <c r="AO19" i="5"/>
  <c r="AW19" i="5"/>
  <c r="AU19" i="5"/>
  <c r="AT19" i="5"/>
  <c r="AL19" i="5"/>
  <c r="AG19" i="5"/>
  <c r="J19" i="5" s="1"/>
  <c r="AP19" i="5"/>
  <c r="AJ19" i="5"/>
  <c r="AS19" i="5"/>
  <c r="AH19" i="5"/>
  <c r="AN19" i="5"/>
  <c r="AK19" i="5"/>
  <c r="AV19" i="5"/>
  <c r="AI19" i="5"/>
  <c r="AR19" i="5"/>
  <c r="B40" i="7" l="1"/>
  <c r="K40" i="7" s="1"/>
  <c r="N41" i="6"/>
  <c r="O41" i="6" s="1"/>
  <c r="AM44" i="5"/>
  <c r="AP44" i="5"/>
  <c r="AQ44" i="5"/>
  <c r="AS44" i="5"/>
  <c r="AV44" i="5"/>
  <c r="AI44" i="5"/>
  <c r="AO44" i="5"/>
  <c r="AK44" i="5"/>
  <c r="AT44" i="5"/>
  <c r="AU44" i="5"/>
  <c r="AH44" i="5"/>
  <c r="AR44" i="5"/>
  <c r="AX44" i="5"/>
  <c r="AG44" i="5" s="1"/>
  <c r="Z21" i="5" s="1"/>
  <c r="AN44" i="5"/>
  <c r="AL44" i="5"/>
  <c r="AJ44" i="5"/>
  <c r="AY20" i="5"/>
  <c r="AT20" i="5" s="1"/>
  <c r="P41" i="6" l="1"/>
  <c r="AZ45" i="5"/>
  <c r="AR45" i="5" s="1"/>
  <c r="AU20" i="5"/>
  <c r="AV20" i="5"/>
  <c r="AL20" i="5"/>
  <c r="AW20" i="5"/>
  <c r="AH20" i="5"/>
  <c r="AP20" i="5"/>
  <c r="AS20" i="5"/>
  <c r="AK20" i="5"/>
  <c r="AM20" i="5"/>
  <c r="AX20" i="5"/>
  <c r="AG20" i="5" s="1"/>
  <c r="J20" i="5" s="1"/>
  <c r="AO20" i="5"/>
  <c r="AI20" i="5"/>
  <c r="AQ20" i="5"/>
  <c r="AJ20" i="5"/>
  <c r="AN20" i="5"/>
  <c r="AR20" i="5"/>
  <c r="B41" i="7" l="1"/>
  <c r="K41" i="7" s="1"/>
  <c r="N42" i="6"/>
  <c r="AZ21" i="5"/>
  <c r="AV21" i="5" s="1"/>
  <c r="AY45" i="5"/>
  <c r="AW45" i="5"/>
  <c r="AP45" i="5"/>
  <c r="AQ45" i="5"/>
  <c r="AS45" i="5"/>
  <c r="AM45" i="5"/>
  <c r="AO45" i="5"/>
  <c r="AU45" i="5"/>
  <c r="AN45" i="5"/>
  <c r="AI45" i="5"/>
  <c r="AX45" i="5"/>
  <c r="AG45" i="5" s="1"/>
  <c r="Z22" i="5" s="1"/>
  <c r="AJ45" i="5"/>
  <c r="AH45" i="5"/>
  <c r="AK45" i="5"/>
  <c r="AL45" i="5"/>
  <c r="AT45" i="5"/>
  <c r="AV45" i="5"/>
  <c r="BA46" i="5" l="1"/>
  <c r="AP46" i="5" s="1"/>
  <c r="O42" i="6"/>
  <c r="P42" i="6" s="1"/>
  <c r="AS21" i="5"/>
  <c r="AJ21" i="5"/>
  <c r="AO21" i="5"/>
  <c r="AL21" i="5"/>
  <c r="AM21" i="5"/>
  <c r="AT21" i="5"/>
  <c r="AU21" i="5"/>
  <c r="AX21" i="5"/>
  <c r="AG21" i="5" s="1"/>
  <c r="J21" i="5" s="1"/>
  <c r="AK21" i="5"/>
  <c r="AN21" i="5"/>
  <c r="AR21" i="5"/>
  <c r="AH21" i="5"/>
  <c r="AP21" i="5"/>
  <c r="AI21" i="5"/>
  <c r="AY21" i="5"/>
  <c r="AW21" i="5"/>
  <c r="AQ21" i="5"/>
  <c r="BA22" i="5" l="1"/>
  <c r="AX22" i="5" s="1"/>
  <c r="AG22" i="5" s="1"/>
  <c r="J22" i="5" s="1"/>
  <c r="B42" i="7"/>
  <c r="K42" i="7" s="1"/>
  <c r="N43" i="6"/>
  <c r="AY46" i="5"/>
  <c r="AX46" i="5"/>
  <c r="AG46" i="5" s="1"/>
  <c r="Z23" i="5" s="1"/>
  <c r="AQ46" i="5"/>
  <c r="AL46" i="5"/>
  <c r="AU46" i="5"/>
  <c r="AI46" i="5"/>
  <c r="AK46" i="5" s="1"/>
  <c r="AS46" i="5"/>
  <c r="AM46" i="5"/>
  <c r="AT46" i="5"/>
  <c r="AR46" i="5"/>
  <c r="AN46" i="5"/>
  <c r="AV46" i="5"/>
  <c r="AJ46" i="5"/>
  <c r="AO46" i="5"/>
  <c r="AW46" i="5"/>
  <c r="AH46" i="5"/>
  <c r="AZ46" i="5"/>
  <c r="G30" i="2"/>
  <c r="G29" i="2"/>
  <c r="G28" i="2"/>
  <c r="E29" i="2"/>
  <c r="E28" i="2"/>
  <c r="C28" i="2"/>
  <c r="C34" i="2" s="1"/>
  <c r="G18" i="2"/>
  <c r="G17" i="2"/>
  <c r="G16" i="2"/>
  <c r="E17" i="2"/>
  <c r="E16" i="2"/>
  <c r="C16" i="2"/>
  <c r="C22" i="2" s="1"/>
  <c r="O43" i="6" l="1"/>
  <c r="P43" i="6" s="1"/>
  <c r="AS22" i="5"/>
  <c r="AJ22" i="5"/>
  <c r="AH22" i="5"/>
  <c r="AL22" i="5"/>
  <c r="AP22" i="5"/>
  <c r="AN22" i="5"/>
  <c r="AR22" i="5"/>
  <c r="AW22" i="5"/>
  <c r="AV22" i="5"/>
  <c r="AZ22" i="5"/>
  <c r="AM22" i="5"/>
  <c r="AT22" i="5"/>
  <c r="AU22" i="5"/>
  <c r="AY22" i="5"/>
  <c r="AO22" i="5"/>
  <c r="AI22" i="5"/>
  <c r="AK22" i="5" s="1"/>
  <c r="AQ22" i="5"/>
  <c r="E22" i="2"/>
  <c r="G34" i="2"/>
  <c r="E34" i="2"/>
  <c r="G22" i="2"/>
  <c r="G7" i="2"/>
  <c r="G6" i="2"/>
  <c r="G5" i="2"/>
  <c r="E6" i="2"/>
  <c r="E5" i="2"/>
  <c r="C5" i="2"/>
  <c r="C11" i="2" s="1"/>
  <c r="B43" i="7" l="1"/>
  <c r="K43" i="7" s="1"/>
  <c r="N44" i="6"/>
  <c r="G11" i="2"/>
  <c r="E11" i="2"/>
  <c r="C23" i="1"/>
  <c r="C22" i="1"/>
  <c r="C21" i="1"/>
  <c r="C20" i="1"/>
  <c r="C13" i="1"/>
  <c r="C12" i="1"/>
  <c r="C11" i="1"/>
  <c r="C5" i="1"/>
  <c r="C4" i="1"/>
  <c r="O44" i="6" l="1"/>
  <c r="P44" i="6" s="1"/>
  <c r="C6" i="1"/>
  <c r="C14" i="1"/>
  <c r="C24" i="1"/>
  <c r="N45" i="6" l="1"/>
  <c r="O45" i="6" s="1"/>
  <c r="P45" i="6" s="1"/>
  <c r="B44" i="7"/>
  <c r="K44" i="7" s="1"/>
  <c r="N46" i="6" l="1"/>
  <c r="O46" i="6" s="1"/>
  <c r="P46" i="6" s="1"/>
  <c r="B46" i="7" s="1"/>
  <c r="K46" i="7" s="1"/>
  <c r="B45" i="7"/>
  <c r="K45" i="7" s="1"/>
  <c r="N47" i="6" l="1"/>
  <c r="O47" i="6" s="1"/>
  <c r="P47" i="6" s="1"/>
  <c r="B47" i="7" l="1"/>
  <c r="K47" i="7" s="1"/>
  <c r="N48" i="6"/>
  <c r="O48" i="6" s="1"/>
  <c r="P48" i="6" l="1"/>
  <c r="B48" i="7" l="1"/>
  <c r="K48" i="7" s="1"/>
  <c r="N49" i="6"/>
  <c r="O49" i="6" s="1"/>
  <c r="P49" i="6" l="1"/>
  <c r="B49" i="7" l="1"/>
  <c r="K49" i="7" s="1"/>
  <c r="N50" i="6"/>
  <c r="O50" i="6" s="1"/>
  <c r="P50" i="6" l="1"/>
  <c r="B50" i="7" l="1"/>
  <c r="K50" i="7" s="1"/>
  <c r="N51" i="6"/>
  <c r="O51" i="6" s="1"/>
  <c r="P51" i="6" l="1"/>
  <c r="B51" i="7" l="1"/>
  <c r="K51" i="7" s="1"/>
  <c r="N52" i="6"/>
  <c r="O52" i="6" s="1"/>
  <c r="F3" i="6" l="1"/>
  <c r="F4" i="6"/>
  <c r="P52" i="6"/>
  <c r="B52" i="7" s="1"/>
  <c r="F7" i="7" s="1"/>
  <c r="F2" i="6"/>
  <c r="L51" i="7"/>
  <c r="L18" i="7"/>
  <c r="L29" i="7"/>
  <c r="L32" i="7"/>
  <c r="L14" i="7"/>
  <c r="L27" i="7"/>
  <c r="L8" i="7"/>
  <c r="L6" i="7"/>
  <c r="L15" i="7"/>
  <c r="L25" i="7"/>
  <c r="L22" i="7"/>
  <c r="L21" i="7"/>
  <c r="L23" i="7"/>
  <c r="L30" i="7"/>
  <c r="L5" i="7"/>
  <c r="L20" i="7"/>
  <c r="L16" i="7"/>
  <c r="L7" i="7"/>
  <c r="L11" i="7"/>
  <c r="L17" i="7"/>
  <c r="L26" i="7"/>
  <c r="L31" i="7"/>
  <c r="L19" i="7"/>
  <c r="L4" i="7"/>
  <c r="L28" i="7"/>
  <c r="L9" i="7"/>
  <c r="L24" i="7"/>
  <c r="L12" i="7"/>
  <c r="L33" i="7"/>
  <c r="L10" i="7"/>
  <c r="L3" i="7"/>
  <c r="L13" i="7"/>
  <c r="L34" i="7"/>
  <c r="L39" i="7"/>
  <c r="L37" i="7"/>
  <c r="L35" i="7"/>
  <c r="L36" i="7"/>
  <c r="L38" i="7"/>
  <c r="L41" i="7"/>
  <c r="L40" i="7"/>
  <c r="L42" i="7"/>
  <c r="L43" i="7"/>
  <c r="L44" i="7"/>
  <c r="L45" i="7"/>
  <c r="L50" i="7"/>
  <c r="L48" i="7"/>
  <c r="L46" i="7"/>
  <c r="L47" i="7"/>
  <c r="L49" i="7"/>
  <c r="F6" i="7" l="1"/>
  <c r="F11" i="7"/>
  <c r="G11" i="7" s="1"/>
  <c r="F8" i="7"/>
  <c r="F4" i="7"/>
  <c r="F5" i="7" s="1"/>
  <c r="K52" i="7"/>
  <c r="L52" i="7" s="1"/>
  <c r="M2" i="7" s="1"/>
  <c r="F3" i="7"/>
  <c r="V6" i="7"/>
  <c r="V11" i="7"/>
  <c r="V16" i="7"/>
  <c r="V7" i="7"/>
  <c r="V3" i="7"/>
  <c r="V18" i="7"/>
  <c r="V13" i="7"/>
  <c r="V22" i="7"/>
  <c r="V21" i="7"/>
  <c r="V19" i="7"/>
  <c r="V20" i="7"/>
  <c r="V12" i="7"/>
  <c r="V9" i="7"/>
  <c r="V17" i="7"/>
  <c r="V15" i="7"/>
  <c r="V10" i="7"/>
  <c r="V14" i="7"/>
  <c r="V5" i="7"/>
  <c r="V8" i="7"/>
  <c r="V4" i="7"/>
  <c r="M3" i="7" l="1"/>
  <c r="N3" i="7" s="1"/>
  <c r="B6" i="10" s="1"/>
  <c r="M9" i="7"/>
  <c r="N9" i="7" s="1"/>
  <c r="B12" i="10" s="1"/>
  <c r="M15" i="7"/>
  <c r="N15" i="7" s="1"/>
  <c r="B18" i="10" s="1"/>
  <c r="M18" i="7"/>
  <c r="N18" i="7" s="1"/>
  <c r="B21" i="10" s="1"/>
  <c r="M16" i="7"/>
  <c r="N16" i="7" s="1"/>
  <c r="B19" i="10" s="1"/>
  <c r="M7" i="7"/>
  <c r="N7" i="7" s="1"/>
  <c r="B10" i="10" s="1"/>
  <c r="M17" i="7"/>
  <c r="N17" i="7" s="1"/>
  <c r="B20" i="10" s="1"/>
  <c r="M4" i="7"/>
  <c r="N4" i="7" s="1"/>
  <c r="B7" i="10" s="1"/>
  <c r="M6" i="7"/>
  <c r="N6" i="7" s="1"/>
  <c r="B9" i="10" s="1"/>
  <c r="M5" i="7"/>
  <c r="N5" i="7" s="1"/>
  <c r="B8" i="10" s="1"/>
  <c r="M8" i="7"/>
  <c r="N8" i="7" s="1"/>
  <c r="B11" i="10" s="1"/>
  <c r="M13" i="7"/>
  <c r="N13" i="7" s="1"/>
  <c r="B16" i="10" s="1"/>
  <c r="M19" i="7"/>
  <c r="N19" i="7" s="1"/>
  <c r="B22" i="10" s="1"/>
  <c r="M21" i="7"/>
  <c r="N21" i="7" s="1"/>
  <c r="B24" i="10" s="1"/>
  <c r="M22" i="7"/>
  <c r="N22" i="7" s="1"/>
  <c r="B25" i="10" s="1"/>
  <c r="M12" i="7"/>
  <c r="N12" i="7" s="1"/>
  <c r="B15" i="10" s="1"/>
  <c r="M10" i="7"/>
  <c r="N10" i="7" s="1"/>
  <c r="B13" i="10" s="1"/>
  <c r="M11" i="7"/>
  <c r="N11" i="7" s="1"/>
  <c r="B14" i="10" s="1"/>
  <c r="M14" i="7"/>
  <c r="N14" i="7" s="1"/>
  <c r="B17" i="10" s="1"/>
  <c r="M20" i="7"/>
  <c r="N20" i="7" s="1"/>
  <c r="B23" i="10" s="1"/>
  <c r="F9" i="7"/>
  <c r="F10" i="7"/>
  <c r="G5" i="7"/>
  <c r="U16" i="7"/>
  <c r="T16" i="7"/>
  <c r="U9" i="7"/>
  <c r="T9" i="7"/>
  <c r="U11" i="7"/>
  <c r="T11" i="7"/>
  <c r="U14" i="7"/>
  <c r="T14" i="7"/>
  <c r="T22" i="7"/>
  <c r="U22" i="7"/>
  <c r="U10" i="7"/>
  <c r="T10" i="7"/>
  <c r="T13" i="7"/>
  <c r="U13" i="7"/>
  <c r="U20" i="7"/>
  <c r="T20" i="7"/>
  <c r="U4" i="7"/>
  <c r="T4" i="7"/>
  <c r="T15" i="7"/>
  <c r="U15" i="7"/>
  <c r="U19" i="7"/>
  <c r="T19" i="7"/>
  <c r="U18" i="7"/>
  <c r="T18" i="7"/>
  <c r="U8" i="7"/>
  <c r="T8" i="7"/>
  <c r="U3" i="7"/>
  <c r="T3" i="7"/>
  <c r="U6" i="7"/>
  <c r="T6" i="7"/>
  <c r="U12" i="7"/>
  <c r="T12" i="7"/>
  <c r="U5" i="7"/>
  <c r="T5" i="7"/>
  <c r="U17" i="7"/>
  <c r="T17" i="7"/>
  <c r="U21" i="7"/>
  <c r="T21" i="7"/>
  <c r="T7" i="7"/>
  <c r="U7" i="7"/>
  <c r="Z17" i="7" l="1"/>
  <c r="Z18" i="7"/>
  <c r="Z14" i="7"/>
  <c r="Z8" i="7"/>
  <c r="Z15" i="7"/>
  <c r="Z13" i="7"/>
  <c r="Z11" i="7"/>
  <c r="Z5" i="7"/>
  <c r="Z10" i="7"/>
  <c r="Z6" i="7"/>
  <c r="D6" i="10"/>
  <c r="E6" i="10" s="1"/>
  <c r="F6" i="10"/>
  <c r="Z3" i="7"/>
  <c r="AB3" i="7" s="1"/>
  <c r="AA3" i="7" s="1"/>
  <c r="S3" i="7" s="1"/>
  <c r="C6" i="10" s="1"/>
  <c r="Z20" i="7"/>
  <c r="Z22" i="7"/>
  <c r="Z21" i="7"/>
  <c r="Z7" i="7"/>
  <c r="Z16" i="7"/>
  <c r="Q8" i="7"/>
  <c r="P8" i="7" s="1"/>
  <c r="Q3" i="7"/>
  <c r="P3" i="7" s="1"/>
  <c r="Z19" i="7"/>
  <c r="Q6" i="7"/>
  <c r="P6" i="7" s="1"/>
  <c r="Z9" i="7"/>
  <c r="Z4" i="7"/>
  <c r="Z12" i="7"/>
  <c r="Q7" i="7"/>
  <c r="O7" i="7" s="1"/>
  <c r="Q5" i="7"/>
  <c r="P5" i="7" s="1"/>
  <c r="Q14" i="7"/>
  <c r="O14" i="7" s="1"/>
  <c r="Q22" i="7"/>
  <c r="P22" i="7" s="1"/>
  <c r="Q11" i="7"/>
  <c r="P11" i="7" s="1"/>
  <c r="Q15" i="7"/>
  <c r="P15" i="7" s="1"/>
  <c r="Q16" i="7"/>
  <c r="O16" i="7" s="1"/>
  <c r="Q12" i="7"/>
  <c r="P12" i="7" s="1"/>
  <c r="Q17" i="7"/>
  <c r="P17" i="7" s="1"/>
  <c r="Q18" i="7"/>
  <c r="O18" i="7" s="1"/>
  <c r="Q4" i="7"/>
  <c r="P4" i="7" s="1"/>
  <c r="Q13" i="7"/>
  <c r="O13" i="7" s="1"/>
  <c r="Q20" i="7"/>
  <c r="P20" i="7" s="1"/>
  <c r="Q21" i="7"/>
  <c r="P21" i="7" s="1"/>
  <c r="Q9" i="7"/>
  <c r="O9" i="7" s="1"/>
  <c r="Q19" i="7"/>
  <c r="O19" i="7" s="1"/>
  <c r="Q10" i="7"/>
  <c r="P10" i="7" s="1"/>
  <c r="D17" i="10" l="1"/>
  <c r="E17" i="10" s="1"/>
  <c r="D12" i="10"/>
  <c r="E12" i="10" s="1"/>
  <c r="D19" i="10"/>
  <c r="E19" i="10" s="1"/>
  <c r="D24" i="10"/>
  <c r="E24" i="10" s="1"/>
  <c r="D9" i="10"/>
  <c r="E9" i="10" s="1"/>
  <c r="D11" i="10"/>
  <c r="E11" i="10" s="1"/>
  <c r="D16" i="10"/>
  <c r="E16" i="10" s="1"/>
  <c r="D22" i="10"/>
  <c r="E22" i="10" s="1"/>
  <c r="D8" i="10"/>
  <c r="E8" i="10" s="1"/>
  <c r="D14" i="10"/>
  <c r="E14" i="10" s="1"/>
  <c r="D18" i="10"/>
  <c r="E18" i="10" s="1"/>
  <c r="D23" i="10"/>
  <c r="E23" i="10" s="1"/>
  <c r="D21" i="10"/>
  <c r="E21" i="10" s="1"/>
  <c r="D10" i="10"/>
  <c r="E10" i="10" s="1"/>
  <c r="D15" i="10"/>
  <c r="E15" i="10" s="1"/>
  <c r="D13" i="10"/>
  <c r="E13" i="10" s="1"/>
  <c r="D25" i="10"/>
  <c r="E25" i="10" s="1"/>
  <c r="D7" i="10"/>
  <c r="E7" i="10" s="1"/>
  <c r="D20" i="10"/>
  <c r="E20" i="10" s="1"/>
  <c r="AC4" i="7"/>
  <c r="AB4" i="7" s="1"/>
  <c r="AD5" i="7" s="1"/>
  <c r="AA5" i="7" s="1"/>
  <c r="S5" i="7" s="1"/>
  <c r="C8" i="10" s="1"/>
  <c r="C3" i="10"/>
  <c r="D27" i="10"/>
  <c r="O8" i="7"/>
  <c r="O3" i="7"/>
  <c r="O6" i="7"/>
  <c r="P14" i="7"/>
  <c r="O22" i="7"/>
  <c r="O11" i="7"/>
  <c r="P7" i="7"/>
  <c r="P16" i="7"/>
  <c r="O5" i="7"/>
  <c r="O12" i="7"/>
  <c r="O20" i="7"/>
  <c r="O15" i="7"/>
  <c r="O4" i="7"/>
  <c r="P18" i="7"/>
  <c r="O21" i="7"/>
  <c r="O17" i="7"/>
  <c r="P19" i="7"/>
  <c r="P13" i="7"/>
  <c r="O10" i="7"/>
  <c r="P9" i="7"/>
  <c r="AA4" i="7" l="1"/>
  <c r="S4" i="7" s="1"/>
  <c r="C7" i="10" s="1"/>
  <c r="AC5" i="7"/>
  <c r="AB5" i="7"/>
  <c r="E3" i="10"/>
  <c r="G6" i="10" s="1"/>
  <c r="D28" i="10" l="1"/>
  <c r="H6" i="10"/>
  <c r="AE6" i="7"/>
  <c r="AA6" i="7" s="1"/>
  <c r="S6" i="7" s="1"/>
  <c r="C9" i="10" s="1"/>
  <c r="F10" i="10"/>
  <c r="F22" i="10"/>
  <c r="F19" i="10"/>
  <c r="F15" i="10"/>
  <c r="F23" i="10"/>
  <c r="F11" i="10"/>
  <c r="F12" i="10"/>
  <c r="F17" i="10"/>
  <c r="F21" i="10"/>
  <c r="F18" i="10"/>
  <c r="F13" i="10"/>
  <c r="F9" i="10"/>
  <c r="F20" i="10"/>
  <c r="F25" i="10"/>
  <c r="F14" i="10"/>
  <c r="F7" i="10"/>
  <c r="F16" i="10"/>
  <c r="F8" i="10"/>
  <c r="F24" i="10"/>
  <c r="AB6" i="7" l="1"/>
  <c r="G23" i="10"/>
  <c r="H23" i="10" s="1"/>
  <c r="G24" i="10"/>
  <c r="H24" i="10" s="1"/>
  <c r="G25" i="10"/>
  <c r="H25" i="10" s="1"/>
  <c r="G19" i="10"/>
  <c r="H19" i="10" s="1"/>
  <c r="G22" i="10"/>
  <c r="H22" i="10" s="1"/>
  <c r="G21" i="10"/>
  <c r="H21" i="10" s="1"/>
  <c r="G20" i="10"/>
  <c r="H20" i="10" s="1"/>
  <c r="G18" i="10"/>
  <c r="H18" i="10" s="1"/>
  <c r="G16" i="10"/>
  <c r="H16" i="10" s="1"/>
  <c r="G17" i="10"/>
  <c r="H17" i="10" s="1"/>
  <c r="G15" i="10"/>
  <c r="H15" i="10" s="1"/>
  <c r="G13" i="10"/>
  <c r="H13" i="10" s="1"/>
  <c r="G14" i="10"/>
  <c r="H14" i="10" s="1"/>
  <c r="G10" i="10"/>
  <c r="H10" i="10" s="1"/>
  <c r="G8" i="10"/>
  <c r="H8" i="10" s="1"/>
  <c r="G7" i="10"/>
  <c r="H7" i="10" s="1"/>
  <c r="G9" i="10"/>
  <c r="H9" i="10" s="1"/>
  <c r="G12" i="10"/>
  <c r="H12" i="10" s="1"/>
  <c r="G11" i="10"/>
  <c r="H11" i="10" s="1"/>
  <c r="AD6" i="7"/>
  <c r="AC6" i="7"/>
  <c r="AF7" i="7" l="1"/>
  <c r="AE7" i="7" s="1"/>
  <c r="AD7" i="7" l="1"/>
  <c r="AA7" i="7"/>
  <c r="S7" i="7" s="1"/>
  <c r="C10" i="10" s="1"/>
  <c r="AC7" i="7"/>
  <c r="AB7" i="7"/>
  <c r="AG8" i="7" l="1"/>
  <c r="AD8" i="7" s="1"/>
  <c r="AB8" i="7" l="1"/>
  <c r="AC8" i="7"/>
  <c r="AA8" i="7"/>
  <c r="S8" i="7" s="1"/>
  <c r="C11" i="10" s="1"/>
  <c r="AF8" i="7"/>
  <c r="AE8" i="7"/>
  <c r="AH9" i="7" l="1"/>
  <c r="AC9" i="7" s="1"/>
  <c r="AB9" i="7" l="1"/>
  <c r="AA9" i="7"/>
  <c r="S9" i="7" s="1"/>
  <c r="C12" i="10" s="1"/>
  <c r="AG9" i="7"/>
  <c r="AF9" i="7"/>
  <c r="AD9" i="7"/>
  <c r="AE9" i="7"/>
  <c r="AI10" i="7" l="1"/>
  <c r="AG10" i="7" s="1"/>
  <c r="AA10" i="7" l="1"/>
  <c r="S10" i="7" s="1"/>
  <c r="C13" i="10" s="1"/>
  <c r="AC10" i="7"/>
  <c r="AF10" i="7"/>
  <c r="AH10" i="7"/>
  <c r="AB10" i="7"/>
  <c r="AE10" i="7"/>
  <c r="AD10" i="7"/>
  <c r="AJ11" i="7" l="1"/>
  <c r="AH11" i="7" s="1"/>
  <c r="AD11" i="7" l="1"/>
  <c r="AC11" i="7"/>
  <c r="AG11" i="7"/>
  <c r="AB11" i="7"/>
  <c r="AE11" i="7"/>
  <c r="AF11" i="7"/>
  <c r="AI11" i="7"/>
  <c r="AA11" i="7"/>
  <c r="S11" i="7" s="1"/>
  <c r="C14" i="10" s="1"/>
  <c r="AK12" i="7" l="1"/>
  <c r="AG12" i="7" s="1"/>
  <c r="AA12" i="7" l="1"/>
  <c r="S12" i="7" s="1"/>
  <c r="C15" i="10" s="1"/>
  <c r="AJ12" i="7"/>
  <c r="AF12" i="7"/>
  <c r="AH12" i="7"/>
  <c r="AE12" i="7"/>
  <c r="AD12" i="7"/>
  <c r="AB12" i="7"/>
  <c r="AC12" i="7"/>
  <c r="AI12" i="7"/>
  <c r="AL13" i="7" l="1"/>
  <c r="AF13" i="7" s="1"/>
  <c r="AK13" i="7" l="1"/>
  <c r="AA13" i="7"/>
  <c r="S13" i="7" s="1"/>
  <c r="C16" i="10" s="1"/>
  <c r="AB13" i="7"/>
  <c r="AJ13" i="7"/>
  <c r="AH13" i="7"/>
  <c r="AG13" i="7"/>
  <c r="AE13" i="7"/>
  <c r="AC13" i="7"/>
  <c r="AI13" i="7"/>
  <c r="AD13" i="7"/>
  <c r="AM14" i="7" l="1"/>
  <c r="AB14" i="7" s="1"/>
  <c r="AA14" i="7" l="1"/>
  <c r="S14" i="7" s="1"/>
  <c r="C17" i="10" s="1"/>
  <c r="AF14" i="7"/>
  <c r="AH14" i="7"/>
  <c r="AL14" i="7"/>
  <c r="AK14" i="7"/>
  <c r="AJ14" i="7"/>
  <c r="AC14" i="7"/>
  <c r="AD14" i="7"/>
  <c r="AG14" i="7"/>
  <c r="AI14" i="7"/>
  <c r="AE14" i="7"/>
  <c r="AN15" i="7" l="1"/>
  <c r="AG15" i="7" s="1"/>
  <c r="AL15" i="7" l="1"/>
  <c r="AM15" i="7"/>
  <c r="AJ15" i="7"/>
  <c r="AB15" i="7"/>
  <c r="AI15" i="7"/>
  <c r="AH15" i="7"/>
  <c r="AF15" i="7"/>
  <c r="AE15" i="7"/>
  <c r="AC15" i="7"/>
  <c r="AA15" i="7"/>
  <c r="S15" i="7" s="1"/>
  <c r="C18" i="10" s="1"/>
  <c r="AD15" i="7"/>
  <c r="AK15" i="7"/>
  <c r="AO16" i="7" l="1"/>
  <c r="AH16" i="7" s="1"/>
  <c r="AI16" i="7" l="1"/>
  <c r="AB16" i="7"/>
  <c r="AG16" i="7"/>
  <c r="AM16" i="7"/>
  <c r="AL16" i="7"/>
  <c r="AF16" i="7"/>
  <c r="AA16" i="7"/>
  <c r="S16" i="7" s="1"/>
  <c r="C19" i="10" s="1"/>
  <c r="AN16" i="7"/>
  <c r="AK16" i="7"/>
  <c r="AC16" i="7"/>
  <c r="AE16" i="7"/>
  <c r="AJ16" i="7"/>
  <c r="AD16" i="7"/>
  <c r="AP17" i="7" l="1"/>
  <c r="AB17" i="7" s="1"/>
  <c r="AE17" i="7" l="1"/>
  <c r="AI17" i="7"/>
  <c r="AC17" i="7"/>
  <c r="AM17" i="7"/>
  <c r="AJ17" i="7"/>
  <c r="AK17" i="7"/>
  <c r="AF17" i="7"/>
  <c r="AA17" i="7"/>
  <c r="S17" i="7" s="1"/>
  <c r="C20" i="10" s="1"/>
  <c r="AD17" i="7"/>
  <c r="AH17" i="7"/>
  <c r="AN17" i="7"/>
  <c r="AL17" i="7"/>
  <c r="AO17" i="7"/>
  <c r="AG17" i="7"/>
  <c r="AQ18" i="7" l="1"/>
  <c r="AA18" i="7" s="1"/>
  <c r="S18" i="7" s="1"/>
  <c r="C21" i="10" s="1"/>
  <c r="AC18" i="7" l="1"/>
  <c r="AF18" i="7"/>
  <c r="AB18" i="7"/>
  <c r="AI18" i="7"/>
  <c r="AD18" i="7"/>
  <c r="AM18" i="7"/>
  <c r="AP18" i="7"/>
  <c r="AE18" i="7"/>
  <c r="AG18" i="7"/>
  <c r="AJ18" i="7"/>
  <c r="AK18" i="7"/>
  <c r="AN18" i="7"/>
  <c r="AO18" i="7"/>
  <c r="AL18" i="7"/>
  <c r="AH18" i="7"/>
  <c r="AR19" i="7" l="1"/>
  <c r="AD19" i="7" s="1"/>
  <c r="AN19" i="7" l="1"/>
  <c r="AQ19" i="7"/>
  <c r="AI19" i="7"/>
  <c r="AM19" i="7"/>
  <c r="AO19" i="7"/>
  <c r="AA19" i="7"/>
  <c r="S19" i="7" s="1"/>
  <c r="C22" i="10" s="1"/>
  <c r="AH19" i="7"/>
  <c r="AF19" i="7"/>
  <c r="AB19" i="7"/>
  <c r="AG19" i="7"/>
  <c r="AP19" i="7"/>
  <c r="AL19" i="7"/>
  <c r="AJ19" i="7"/>
  <c r="AE19" i="7"/>
  <c r="AC19" i="7"/>
  <c r="AK19" i="7"/>
  <c r="AS20" i="7" l="1"/>
  <c r="AK20" i="7" s="1"/>
  <c r="AP20" i="7" l="1"/>
  <c r="AE20" i="7"/>
  <c r="AL20" i="7"/>
  <c r="AR20" i="7"/>
  <c r="AA20" i="7" s="1"/>
  <c r="S20" i="7" s="1"/>
  <c r="C23" i="10" s="1"/>
  <c r="AH20" i="7"/>
  <c r="AG20" i="7"/>
  <c r="AC20" i="7"/>
  <c r="AJ20" i="7"/>
  <c r="AN20" i="7"/>
  <c r="AM20" i="7"/>
  <c r="AD20" i="7"/>
  <c r="AI20" i="7"/>
  <c r="AQ20" i="7"/>
  <c r="AO20" i="7"/>
  <c r="AF20" i="7"/>
  <c r="AB20" i="7"/>
  <c r="AT21" i="7" l="1"/>
  <c r="AK21" i="7" s="1"/>
  <c r="AL21" i="7" l="1"/>
  <c r="AH21" i="7"/>
  <c r="AQ21" i="7"/>
  <c r="AP21" i="7"/>
  <c r="AO21" i="7"/>
  <c r="AR21" i="7"/>
  <c r="AA21" i="7" s="1"/>
  <c r="S21" i="7" s="1"/>
  <c r="C24" i="10" s="1"/>
  <c r="AD21" i="7"/>
  <c r="AI21" i="7"/>
  <c r="AM21" i="7"/>
  <c r="AF21" i="7"/>
  <c r="AS21" i="7"/>
  <c r="AN21" i="7"/>
  <c r="AJ21" i="7"/>
  <c r="AG21" i="7"/>
  <c r="AC21" i="7"/>
  <c r="AE21" i="7"/>
  <c r="AB21" i="7"/>
  <c r="AU22" i="7" l="1"/>
  <c r="AC22" i="7" s="1"/>
  <c r="AE22" i="7" s="1"/>
  <c r="AT22" i="7" l="1"/>
  <c r="AR22" i="7"/>
  <c r="AA22" i="7" s="1"/>
  <c r="S22" i="7" s="1"/>
  <c r="C25" i="10" s="1"/>
  <c r="AN22" i="7"/>
  <c r="AJ22" i="7"/>
  <c r="AQ22" i="7"/>
  <c r="AF22" i="7"/>
  <c r="AP22" i="7"/>
  <c r="AS22" i="7"/>
  <c r="AB22" i="7"/>
  <c r="AH22" i="7"/>
  <c r="AG22" i="7"/>
  <c r="AD22" i="7"/>
  <c r="AL22" i="7"/>
  <c r="AO22" i="7"/>
  <c r="AK22" i="7"/>
  <c r="AI22" i="7"/>
  <c r="AM22" i="7"/>
</calcChain>
</file>

<file path=xl/sharedStrings.xml><?xml version="1.0" encoding="utf-8"?>
<sst xmlns="http://schemas.openxmlformats.org/spreadsheetml/2006/main" count="656" uniqueCount="402">
  <si>
    <t>Variables</t>
  </si>
  <si>
    <t>Equations</t>
  </si>
  <si>
    <t>=B4*(1+B5^2)-B2</t>
  </si>
  <si>
    <t>=B5*B4+B3</t>
  </si>
  <si>
    <t>=B11*(1+B12^2+B13^2)-B8</t>
  </si>
  <si>
    <t>=B12-B12*B13+B9/B11</t>
  </si>
  <si>
    <t>=B13*B11+B10</t>
  </si>
  <si>
    <t>=B20*(1+B21^2+B22^2+B23^2)-B16</t>
  </si>
  <si>
    <t>=B21-B21*B22-B22*B22+B17/B20</t>
  </si>
  <si>
    <t>=B22-B21*B23+B18/B20</t>
  </si>
  <si>
    <t>=B23*B20+B19</t>
  </si>
  <si>
    <r>
      <t xml:space="preserve">if </t>
    </r>
    <r>
      <rPr>
        <b/>
        <u/>
        <sz val="11"/>
        <color theme="1"/>
        <rFont val="Calibri"/>
        <family val="2"/>
        <scheme val="minor"/>
      </rPr>
      <t>q=1</t>
    </r>
  </si>
  <si>
    <r>
      <t xml:space="preserve">if </t>
    </r>
    <r>
      <rPr>
        <b/>
        <u/>
        <sz val="11"/>
        <color theme="1"/>
        <rFont val="Calibri"/>
        <family val="2"/>
        <scheme val="minor"/>
      </rPr>
      <t>q=2</t>
    </r>
  </si>
  <si>
    <r>
      <t xml:space="preserve">if </t>
    </r>
    <r>
      <rPr>
        <b/>
        <u/>
        <sz val="11"/>
        <color theme="1"/>
        <rFont val="Calibri"/>
        <family val="2"/>
        <scheme val="minor"/>
      </rPr>
      <t>q=3</t>
    </r>
  </si>
  <si>
    <t>ARMA(1,1)</t>
  </si>
  <si>
    <t>ARMA(2,1)</t>
  </si>
  <si>
    <t>ARMA(3,1)</t>
  </si>
  <si>
    <t>ARMA(1,2)</t>
  </si>
  <si>
    <t>ARMA(2,2)</t>
  </si>
  <si>
    <t>ARMA(3,2)</t>
  </si>
  <si>
    <t>ARMA(1,3)</t>
  </si>
  <si>
    <t>ARMA(2,3)</t>
  </si>
  <si>
    <t>ARMA(3,3)</t>
  </si>
  <si>
    <r>
      <t>c</t>
    </r>
    <r>
      <rPr>
        <vertAlign val="subscript"/>
        <sz val="12"/>
        <color theme="1"/>
        <rFont val="Times New Roman"/>
        <family val="1"/>
      </rPr>
      <t>0</t>
    </r>
  </si>
  <si>
    <r>
      <t>c</t>
    </r>
    <r>
      <rPr>
        <vertAlign val="subscript"/>
        <sz val="12"/>
        <color theme="1"/>
        <rFont val="Times New Roman"/>
        <family val="1"/>
      </rPr>
      <t>1</t>
    </r>
  </si>
  <si>
    <r>
      <t>c</t>
    </r>
    <r>
      <rPr>
        <vertAlign val="subscript"/>
        <sz val="12"/>
        <color theme="1"/>
        <rFont val="Times New Roman"/>
        <family val="1"/>
      </rPr>
      <t>2</t>
    </r>
  </si>
  <si>
    <r>
      <t>c</t>
    </r>
    <r>
      <rPr>
        <vertAlign val="subscript"/>
        <sz val="12"/>
        <color theme="1"/>
        <rFont val="Times New Roman"/>
        <family val="1"/>
      </rPr>
      <t>3</t>
    </r>
  </si>
  <si>
    <r>
      <t>c</t>
    </r>
    <r>
      <rPr>
        <vertAlign val="subscript"/>
        <sz val="12"/>
        <color theme="1"/>
        <rFont val="Times New Roman"/>
        <family val="1"/>
      </rPr>
      <t>4</t>
    </r>
  </si>
  <si>
    <r>
      <t>f</t>
    </r>
    <r>
      <rPr>
        <vertAlign val="subscript"/>
        <sz val="12"/>
        <color theme="1"/>
        <rFont val="Times New Roman"/>
        <family val="1"/>
      </rPr>
      <t>1</t>
    </r>
  </si>
  <si>
    <r>
      <t>f</t>
    </r>
    <r>
      <rPr>
        <vertAlign val="subscript"/>
        <sz val="12"/>
        <color theme="1"/>
        <rFont val="Times New Roman"/>
        <family val="1"/>
      </rPr>
      <t>2</t>
    </r>
  </si>
  <si>
    <r>
      <t>f</t>
    </r>
    <r>
      <rPr>
        <vertAlign val="subscript"/>
        <sz val="12"/>
        <color theme="1"/>
        <rFont val="Times New Roman"/>
        <family val="1"/>
      </rPr>
      <t>3</t>
    </r>
  </si>
  <si>
    <r>
      <t>c</t>
    </r>
    <r>
      <rPr>
        <vertAlign val="subscript"/>
        <sz val="12"/>
        <color theme="1"/>
        <rFont val="Times New Roman"/>
        <family val="1"/>
      </rPr>
      <t>5</t>
    </r>
  </si>
  <si>
    <r>
      <t>c</t>
    </r>
    <r>
      <rPr>
        <vertAlign val="subscript"/>
        <sz val="12"/>
        <color theme="1"/>
        <rFont val="Times New Roman"/>
        <family val="1"/>
      </rPr>
      <t>6</t>
    </r>
  </si>
  <si>
    <t>=B7*B3-B4</t>
  </si>
  <si>
    <t>=B7*B3+B8*B2-B4</t>
  </si>
  <si>
    <t>=B7*B4+B8*B3-B5</t>
  </si>
  <si>
    <t>=B7*B5+B8*B4+B9*B3-B6</t>
  </si>
  <si>
    <t>1. Put nominally small value (0.001) in cells B7:B9</t>
  </si>
  <si>
    <t>5. Tick off Make Unconstrained Variables Non-Negative</t>
  </si>
  <si>
    <t>How to deploy the Solver (example for q=1):</t>
  </si>
  <si>
    <t>2. Set Objective (C7, C14 or C24) to have value of 0</t>
  </si>
  <si>
    <t>3. By changing cells B4:B4, B11:B13 or B20:B23</t>
  </si>
  <si>
    <t>4. Subject to conditions that C4:C5=0, C11:C13=0 or C20:C23 are equal to 0</t>
  </si>
  <si>
    <r>
      <rPr>
        <sz val="12"/>
        <color theme="1"/>
        <rFont val="Symbol"/>
        <family val="1"/>
        <charset val="2"/>
      </rPr>
      <t>f</t>
    </r>
    <r>
      <rPr>
        <vertAlign val="subscript"/>
        <sz val="12"/>
        <color theme="1"/>
        <rFont val="Times New Roman"/>
        <family val="1"/>
      </rPr>
      <t>1</t>
    </r>
    <r>
      <rPr>
        <sz val="12"/>
        <color theme="1"/>
        <rFont val="Times New Roman"/>
        <family val="1"/>
      </rPr>
      <t>c</t>
    </r>
    <r>
      <rPr>
        <vertAlign val="subscript"/>
        <sz val="12"/>
        <color theme="1"/>
        <rFont val="Times New Roman"/>
        <family val="1"/>
      </rPr>
      <t>2</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c</t>
    </r>
    <r>
      <rPr>
        <vertAlign val="subscript"/>
        <sz val="12"/>
        <color theme="1"/>
        <rFont val="Times New Roman"/>
        <family val="1"/>
      </rPr>
      <t>1</t>
    </r>
    <r>
      <rPr>
        <sz val="12"/>
        <color theme="1"/>
        <rFont val="Times New Roman"/>
        <family val="1"/>
      </rPr>
      <t xml:space="preserve"> - c</t>
    </r>
    <r>
      <rPr>
        <vertAlign val="subscript"/>
        <sz val="12"/>
        <color theme="1"/>
        <rFont val="Times New Roman"/>
        <family val="1"/>
      </rPr>
      <t>3</t>
    </r>
    <r>
      <rPr>
        <sz val="12"/>
        <color theme="1"/>
        <rFont val="Times New Roman"/>
        <family val="1"/>
      </rPr>
      <t xml:space="preserve"> = 0</t>
    </r>
  </si>
  <si>
    <r>
      <rPr>
        <sz val="12"/>
        <color theme="1"/>
        <rFont val="Symbol"/>
        <family val="1"/>
        <charset val="2"/>
      </rPr>
      <t>f</t>
    </r>
    <r>
      <rPr>
        <vertAlign val="subscript"/>
        <sz val="12"/>
        <color theme="1"/>
        <rFont val="Times New Roman"/>
        <family val="1"/>
      </rPr>
      <t>1</t>
    </r>
    <r>
      <rPr>
        <sz val="12"/>
        <color theme="1"/>
        <rFont val="Times New Roman"/>
        <family val="1"/>
      </rPr>
      <t>c</t>
    </r>
    <r>
      <rPr>
        <vertAlign val="subscript"/>
        <sz val="12"/>
        <color theme="1"/>
        <rFont val="Times New Roman"/>
        <family val="1"/>
      </rPr>
      <t xml:space="preserve">3 </t>
    </r>
    <r>
      <rPr>
        <sz val="12"/>
        <color theme="1"/>
        <rFont val="Times New Roman"/>
        <family val="1"/>
      </rPr>
      <t>+</t>
    </r>
    <r>
      <rPr>
        <vertAlign val="subscript"/>
        <sz val="12"/>
        <color theme="1"/>
        <rFont val="Times New Roman"/>
        <family val="1"/>
      </rPr>
      <t xml:space="preserve"> </t>
    </r>
    <r>
      <rPr>
        <sz val="12"/>
        <color theme="1"/>
        <rFont val="Symbol"/>
        <family val="1"/>
        <charset val="2"/>
      </rPr>
      <t>f</t>
    </r>
    <r>
      <rPr>
        <vertAlign val="subscript"/>
        <sz val="12"/>
        <color theme="1"/>
        <rFont val="Times New Roman"/>
        <family val="1"/>
      </rPr>
      <t>2</t>
    </r>
    <r>
      <rPr>
        <sz val="12"/>
        <color theme="1"/>
        <rFont val="Times New Roman"/>
        <family val="1"/>
      </rPr>
      <t>c</t>
    </r>
    <r>
      <rPr>
        <vertAlign val="subscript"/>
        <sz val="12"/>
        <color theme="1"/>
        <rFont val="Times New Roman"/>
        <family val="1"/>
      </rPr>
      <t>2</t>
    </r>
    <r>
      <rPr>
        <sz val="12"/>
        <color theme="1"/>
        <rFont val="Times New Roman"/>
        <family val="1"/>
      </rPr>
      <t xml:space="preserve"> - c</t>
    </r>
    <r>
      <rPr>
        <vertAlign val="subscript"/>
        <sz val="12"/>
        <color theme="1"/>
        <rFont val="Times New Roman"/>
        <family val="1"/>
      </rPr>
      <t>4</t>
    </r>
    <r>
      <rPr>
        <sz val="12"/>
        <color theme="1"/>
        <rFont val="Times New Roman"/>
        <family val="1"/>
      </rPr>
      <t xml:space="preserve"> = 0</t>
    </r>
  </si>
  <si>
    <r>
      <rPr>
        <sz val="12"/>
        <color theme="1"/>
        <rFont val="Symbol"/>
        <family val="1"/>
        <charset val="2"/>
      </rPr>
      <t>f</t>
    </r>
    <r>
      <rPr>
        <vertAlign val="subscript"/>
        <sz val="12"/>
        <color theme="1"/>
        <rFont val="Times New Roman"/>
        <family val="1"/>
      </rPr>
      <t>1</t>
    </r>
    <r>
      <rPr>
        <sz val="12"/>
        <color theme="1"/>
        <rFont val="Times New Roman"/>
        <family val="1"/>
      </rPr>
      <t>c</t>
    </r>
    <r>
      <rPr>
        <vertAlign val="subscript"/>
        <sz val="12"/>
        <color theme="1"/>
        <rFont val="Times New Roman"/>
        <family val="1"/>
      </rPr>
      <t xml:space="preserve">1 </t>
    </r>
    <r>
      <rPr>
        <sz val="12"/>
        <color theme="1"/>
        <rFont val="Times New Roman"/>
        <family val="1"/>
      </rPr>
      <t>- c</t>
    </r>
    <r>
      <rPr>
        <vertAlign val="subscript"/>
        <sz val="12"/>
        <color theme="1"/>
        <rFont val="Times New Roman"/>
        <family val="1"/>
      </rPr>
      <t>2</t>
    </r>
    <r>
      <rPr>
        <sz val="12"/>
        <color theme="1"/>
        <rFont val="Times New Roman"/>
        <family val="1"/>
      </rPr>
      <t xml:space="preserve"> = 0</t>
    </r>
  </si>
  <si>
    <r>
      <rPr>
        <sz val="12"/>
        <color theme="1"/>
        <rFont val="Symbol"/>
        <family val="1"/>
        <charset val="2"/>
      </rPr>
      <t>f</t>
    </r>
    <r>
      <rPr>
        <vertAlign val="subscript"/>
        <sz val="12"/>
        <color theme="1"/>
        <rFont val="Times New Roman"/>
        <family val="1"/>
      </rPr>
      <t>1</t>
    </r>
    <r>
      <rPr>
        <sz val="12"/>
        <color theme="1"/>
        <rFont val="Times New Roman"/>
        <family val="1"/>
      </rPr>
      <t>c</t>
    </r>
    <r>
      <rPr>
        <vertAlign val="subscript"/>
        <sz val="12"/>
        <color theme="1"/>
        <rFont val="Times New Roman"/>
        <family val="1"/>
      </rPr>
      <t>1</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c</t>
    </r>
    <r>
      <rPr>
        <vertAlign val="subscript"/>
        <sz val="12"/>
        <color theme="1"/>
        <rFont val="Times New Roman"/>
        <family val="1"/>
      </rPr>
      <t>0</t>
    </r>
    <r>
      <rPr>
        <sz val="12"/>
        <color theme="1"/>
        <rFont val="Times New Roman"/>
        <family val="1"/>
      </rPr>
      <t xml:space="preserve"> - c</t>
    </r>
    <r>
      <rPr>
        <vertAlign val="subscript"/>
        <sz val="12"/>
        <color theme="1"/>
        <rFont val="Times New Roman"/>
        <family val="1"/>
      </rPr>
      <t>2</t>
    </r>
    <r>
      <rPr>
        <sz val="12"/>
        <color theme="1"/>
        <rFont val="Times New Roman"/>
        <family val="1"/>
      </rPr>
      <t xml:space="preserve"> = 0</t>
    </r>
  </si>
  <si>
    <r>
      <rPr>
        <sz val="12"/>
        <color theme="1"/>
        <rFont val="Symbol"/>
        <family val="1"/>
        <charset val="2"/>
      </rPr>
      <t>f</t>
    </r>
    <r>
      <rPr>
        <vertAlign val="subscript"/>
        <sz val="12"/>
        <color theme="1"/>
        <rFont val="Times New Roman"/>
        <family val="1"/>
      </rPr>
      <t>1</t>
    </r>
    <r>
      <rPr>
        <sz val="12"/>
        <color theme="1"/>
        <rFont val="Times New Roman"/>
        <family val="1"/>
      </rPr>
      <t>c</t>
    </r>
    <r>
      <rPr>
        <vertAlign val="subscript"/>
        <sz val="12"/>
        <color theme="1"/>
        <rFont val="Times New Roman"/>
        <family val="1"/>
      </rPr>
      <t>3</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c</t>
    </r>
    <r>
      <rPr>
        <vertAlign val="subscript"/>
        <sz val="12"/>
        <color theme="1"/>
        <rFont val="Times New Roman"/>
        <family val="1"/>
      </rPr>
      <t xml:space="preserve">2 </t>
    </r>
    <r>
      <rPr>
        <sz val="12"/>
        <color theme="1"/>
        <rFont val="Times New Roman"/>
        <family val="1"/>
      </rPr>
      <t xml:space="preserve">+ </t>
    </r>
    <r>
      <rPr>
        <sz val="12"/>
        <color theme="1"/>
        <rFont val="Symbol"/>
        <family val="1"/>
        <charset val="2"/>
      </rPr>
      <t>f</t>
    </r>
    <r>
      <rPr>
        <vertAlign val="subscript"/>
        <sz val="12"/>
        <color theme="1"/>
        <rFont val="Times New Roman"/>
        <family val="1"/>
      </rPr>
      <t>3</t>
    </r>
    <r>
      <rPr>
        <sz val="12"/>
        <color theme="1"/>
        <rFont val="Times New Roman"/>
        <family val="1"/>
      </rPr>
      <t>c</t>
    </r>
    <r>
      <rPr>
        <vertAlign val="subscript"/>
        <sz val="12"/>
        <color theme="1"/>
        <rFont val="Times New Roman"/>
        <family val="1"/>
      </rPr>
      <t>1</t>
    </r>
    <r>
      <rPr>
        <sz val="12"/>
        <color theme="1"/>
        <rFont val="Times New Roman"/>
        <family val="1"/>
      </rPr>
      <t xml:space="preserve"> - c</t>
    </r>
    <r>
      <rPr>
        <vertAlign val="subscript"/>
        <sz val="12"/>
        <color theme="1"/>
        <rFont val="Times New Roman"/>
        <family val="1"/>
      </rPr>
      <t>4</t>
    </r>
    <r>
      <rPr>
        <sz val="12"/>
        <color theme="1"/>
        <rFont val="Times New Roman"/>
        <family val="1"/>
      </rPr>
      <t xml:space="preserve"> = 0</t>
    </r>
  </si>
  <si>
    <r>
      <rPr>
        <sz val="12"/>
        <color theme="1"/>
        <rFont val="Symbol"/>
        <family val="1"/>
        <charset val="2"/>
      </rPr>
      <t>f</t>
    </r>
    <r>
      <rPr>
        <vertAlign val="subscript"/>
        <sz val="12"/>
        <color theme="1"/>
        <rFont val="Times New Roman"/>
        <family val="1"/>
      </rPr>
      <t>1</t>
    </r>
    <r>
      <rPr>
        <sz val="12"/>
        <color theme="1"/>
        <rFont val="Times New Roman"/>
        <family val="1"/>
      </rPr>
      <t>c</t>
    </r>
    <r>
      <rPr>
        <vertAlign val="subscript"/>
        <sz val="12"/>
        <color theme="1"/>
        <rFont val="Times New Roman"/>
        <family val="1"/>
      </rPr>
      <t>2</t>
    </r>
    <r>
      <rPr>
        <sz val="12"/>
        <color theme="1"/>
        <rFont val="Times New Roman"/>
        <family val="1"/>
      </rPr>
      <t xml:space="preserve"> - c</t>
    </r>
    <r>
      <rPr>
        <vertAlign val="subscript"/>
        <sz val="12"/>
        <color theme="1"/>
        <rFont val="Times New Roman"/>
        <family val="1"/>
      </rPr>
      <t>3</t>
    </r>
    <r>
      <rPr>
        <sz val="12"/>
        <color theme="1"/>
        <rFont val="Times New Roman"/>
        <family val="1"/>
      </rPr>
      <t xml:space="preserve"> = 0</t>
    </r>
  </si>
  <si>
    <r>
      <rPr>
        <sz val="12"/>
        <color theme="1"/>
        <rFont val="Symbol"/>
        <family val="1"/>
        <charset val="2"/>
      </rPr>
      <t>f</t>
    </r>
    <r>
      <rPr>
        <vertAlign val="subscript"/>
        <sz val="12"/>
        <color theme="1"/>
        <rFont val="Times New Roman"/>
        <family val="1"/>
      </rPr>
      <t>1</t>
    </r>
    <r>
      <rPr>
        <sz val="12"/>
        <color theme="1"/>
        <rFont val="Times New Roman"/>
        <family val="1"/>
      </rPr>
      <t>c</t>
    </r>
    <r>
      <rPr>
        <vertAlign val="subscript"/>
        <sz val="12"/>
        <color theme="1"/>
        <rFont val="Times New Roman"/>
        <family val="1"/>
      </rPr>
      <t>2</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c</t>
    </r>
    <r>
      <rPr>
        <vertAlign val="subscript"/>
        <sz val="12"/>
        <color theme="1"/>
        <rFont val="Times New Roman"/>
        <family val="1"/>
      </rPr>
      <t xml:space="preserve">1 </t>
    </r>
    <r>
      <rPr>
        <sz val="12"/>
        <color theme="1"/>
        <rFont val="Times New Roman"/>
        <family val="1"/>
      </rPr>
      <t xml:space="preserve">+ </t>
    </r>
    <r>
      <rPr>
        <sz val="12"/>
        <color theme="1"/>
        <rFont val="Symbol"/>
        <family val="1"/>
        <charset val="2"/>
      </rPr>
      <t>f</t>
    </r>
    <r>
      <rPr>
        <vertAlign val="subscript"/>
        <sz val="12"/>
        <color theme="1"/>
        <rFont val="Times New Roman"/>
        <family val="1"/>
      </rPr>
      <t>3</t>
    </r>
    <r>
      <rPr>
        <sz val="12"/>
        <color theme="1"/>
        <rFont val="Times New Roman"/>
        <family val="1"/>
      </rPr>
      <t>c</t>
    </r>
    <r>
      <rPr>
        <vertAlign val="subscript"/>
        <sz val="12"/>
        <color theme="1"/>
        <rFont val="Times New Roman"/>
        <family val="1"/>
      </rPr>
      <t>0</t>
    </r>
    <r>
      <rPr>
        <sz val="12"/>
        <color theme="1"/>
        <rFont val="Times New Roman"/>
        <family val="1"/>
      </rPr>
      <t xml:space="preserve"> - c</t>
    </r>
    <r>
      <rPr>
        <vertAlign val="subscript"/>
        <sz val="12"/>
        <color theme="1"/>
        <rFont val="Times New Roman"/>
        <family val="1"/>
      </rPr>
      <t>3</t>
    </r>
    <r>
      <rPr>
        <sz val="12"/>
        <color theme="1"/>
        <rFont val="Times New Roman"/>
        <family val="1"/>
      </rPr>
      <t xml:space="preserve"> = 0</t>
    </r>
  </si>
  <si>
    <r>
      <rPr>
        <sz val="12"/>
        <color theme="1"/>
        <rFont val="Symbol"/>
        <family val="1"/>
        <charset val="2"/>
      </rPr>
      <t>f</t>
    </r>
    <r>
      <rPr>
        <vertAlign val="subscript"/>
        <sz val="12"/>
        <color theme="1"/>
        <rFont val="Times New Roman"/>
        <family val="1"/>
      </rPr>
      <t>1</t>
    </r>
    <r>
      <rPr>
        <sz val="12"/>
        <color theme="1"/>
        <rFont val="Times New Roman"/>
        <family val="1"/>
      </rPr>
      <t>c</t>
    </r>
    <r>
      <rPr>
        <vertAlign val="subscript"/>
        <sz val="12"/>
        <color theme="1"/>
        <rFont val="Times New Roman"/>
        <family val="1"/>
      </rPr>
      <t>4</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c</t>
    </r>
    <r>
      <rPr>
        <vertAlign val="subscript"/>
        <sz val="12"/>
        <color theme="1"/>
        <rFont val="Times New Roman"/>
        <family val="1"/>
      </rPr>
      <t xml:space="preserve">3 </t>
    </r>
    <r>
      <rPr>
        <sz val="12"/>
        <color theme="1"/>
        <rFont val="Times New Roman"/>
        <family val="1"/>
      </rPr>
      <t xml:space="preserve">+ </t>
    </r>
    <r>
      <rPr>
        <sz val="12"/>
        <color theme="1"/>
        <rFont val="Symbol"/>
        <family val="1"/>
        <charset val="2"/>
      </rPr>
      <t>f</t>
    </r>
    <r>
      <rPr>
        <vertAlign val="subscript"/>
        <sz val="12"/>
        <color theme="1"/>
        <rFont val="Times New Roman"/>
        <family val="1"/>
      </rPr>
      <t>3</t>
    </r>
    <r>
      <rPr>
        <sz val="12"/>
        <color theme="1"/>
        <rFont val="Times New Roman"/>
        <family val="1"/>
      </rPr>
      <t>c</t>
    </r>
    <r>
      <rPr>
        <vertAlign val="subscript"/>
        <sz val="12"/>
        <color theme="1"/>
        <rFont val="Times New Roman"/>
        <family val="1"/>
      </rPr>
      <t>2</t>
    </r>
    <r>
      <rPr>
        <sz val="12"/>
        <color theme="1"/>
        <rFont val="Times New Roman"/>
        <family val="1"/>
      </rPr>
      <t xml:space="preserve"> - c</t>
    </r>
    <r>
      <rPr>
        <vertAlign val="subscript"/>
        <sz val="12"/>
        <color theme="1"/>
        <rFont val="Times New Roman"/>
        <family val="1"/>
      </rPr>
      <t>5</t>
    </r>
    <r>
      <rPr>
        <sz val="12"/>
        <color theme="1"/>
        <rFont val="Times New Roman"/>
        <family val="1"/>
      </rPr>
      <t xml:space="preserve"> = 0</t>
    </r>
    <r>
      <rPr>
        <vertAlign val="subscript"/>
        <sz val="12"/>
        <color theme="1"/>
        <rFont val="Times New Roman"/>
        <family val="1"/>
      </rPr>
      <t xml:space="preserve"> </t>
    </r>
    <r>
      <rPr>
        <sz val="12"/>
        <color theme="1"/>
        <rFont val="Times New Roman"/>
        <family val="1"/>
      </rPr>
      <t xml:space="preserve"> </t>
    </r>
  </si>
  <si>
    <r>
      <rPr>
        <sz val="12"/>
        <color theme="1"/>
        <rFont val="Symbol"/>
        <family val="1"/>
        <charset val="2"/>
      </rPr>
      <t>f</t>
    </r>
    <r>
      <rPr>
        <vertAlign val="subscript"/>
        <sz val="12"/>
        <color theme="1"/>
        <rFont val="Times New Roman"/>
        <family val="1"/>
      </rPr>
      <t>1</t>
    </r>
    <r>
      <rPr>
        <sz val="12"/>
        <color theme="1"/>
        <rFont val="Times New Roman"/>
        <family val="1"/>
      </rPr>
      <t>c</t>
    </r>
    <r>
      <rPr>
        <vertAlign val="subscript"/>
        <sz val="12"/>
        <color theme="1"/>
        <rFont val="Times New Roman"/>
        <family val="1"/>
      </rPr>
      <t>3</t>
    </r>
    <r>
      <rPr>
        <sz val="12"/>
        <color theme="1"/>
        <rFont val="Times New Roman"/>
        <family val="1"/>
      </rPr>
      <t xml:space="preserve"> - c</t>
    </r>
    <r>
      <rPr>
        <vertAlign val="subscript"/>
        <sz val="12"/>
        <color theme="1"/>
        <rFont val="Times New Roman"/>
        <family val="1"/>
      </rPr>
      <t>4</t>
    </r>
    <r>
      <rPr>
        <sz val="12"/>
        <color theme="1"/>
        <rFont val="Times New Roman"/>
        <family val="1"/>
      </rPr>
      <t xml:space="preserve"> = 0</t>
    </r>
  </si>
  <si>
    <r>
      <rPr>
        <sz val="12"/>
        <color theme="1"/>
        <rFont val="Symbol"/>
        <family val="1"/>
        <charset val="2"/>
      </rPr>
      <t>f</t>
    </r>
    <r>
      <rPr>
        <vertAlign val="subscript"/>
        <sz val="12"/>
        <color theme="1"/>
        <rFont val="Times New Roman"/>
        <family val="1"/>
      </rPr>
      <t>1</t>
    </r>
    <r>
      <rPr>
        <sz val="12"/>
        <color theme="1"/>
        <rFont val="Times New Roman"/>
        <family val="1"/>
      </rPr>
      <t>c</t>
    </r>
    <r>
      <rPr>
        <vertAlign val="subscript"/>
        <sz val="12"/>
        <color theme="1"/>
        <rFont val="Times New Roman"/>
        <family val="1"/>
      </rPr>
      <t>3</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c</t>
    </r>
    <r>
      <rPr>
        <vertAlign val="subscript"/>
        <sz val="12"/>
        <color theme="1"/>
        <rFont val="Times New Roman"/>
        <family val="1"/>
      </rPr>
      <t>2</t>
    </r>
    <r>
      <rPr>
        <sz val="12"/>
        <color theme="1"/>
        <rFont val="Times New Roman"/>
        <family val="1"/>
      </rPr>
      <t xml:space="preserve"> - c</t>
    </r>
    <r>
      <rPr>
        <vertAlign val="subscript"/>
        <sz val="12"/>
        <color theme="1"/>
        <rFont val="Times New Roman"/>
        <family val="1"/>
      </rPr>
      <t>4</t>
    </r>
    <r>
      <rPr>
        <sz val="12"/>
        <color theme="1"/>
        <rFont val="Times New Roman"/>
        <family val="1"/>
      </rPr>
      <t xml:space="preserve"> = 0</t>
    </r>
  </si>
  <si>
    <r>
      <rPr>
        <sz val="12"/>
        <color theme="1"/>
        <rFont val="Symbol"/>
        <family val="1"/>
        <charset val="2"/>
      </rPr>
      <t>f</t>
    </r>
    <r>
      <rPr>
        <vertAlign val="subscript"/>
        <sz val="12"/>
        <color theme="1"/>
        <rFont val="Times New Roman"/>
        <family val="1"/>
      </rPr>
      <t>1</t>
    </r>
    <r>
      <rPr>
        <sz val="12"/>
        <color theme="1"/>
        <rFont val="Times New Roman"/>
        <family val="1"/>
      </rPr>
      <t>c</t>
    </r>
    <r>
      <rPr>
        <vertAlign val="subscript"/>
        <sz val="12"/>
        <color theme="1"/>
        <rFont val="Times New Roman"/>
        <family val="1"/>
      </rPr>
      <t>4</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c</t>
    </r>
    <r>
      <rPr>
        <vertAlign val="subscript"/>
        <sz val="12"/>
        <color theme="1"/>
        <rFont val="Times New Roman"/>
        <family val="1"/>
      </rPr>
      <t>3</t>
    </r>
    <r>
      <rPr>
        <sz val="12"/>
        <color theme="1"/>
        <rFont val="Times New Roman"/>
        <family val="1"/>
      </rPr>
      <t xml:space="preserve"> - c</t>
    </r>
    <r>
      <rPr>
        <vertAlign val="subscript"/>
        <sz val="12"/>
        <color theme="1"/>
        <rFont val="Times New Roman"/>
        <family val="1"/>
      </rPr>
      <t>5</t>
    </r>
    <r>
      <rPr>
        <sz val="12"/>
        <color theme="1"/>
        <rFont val="Times New Roman"/>
        <family val="1"/>
      </rPr>
      <t xml:space="preserve"> = 0</t>
    </r>
  </si>
  <si>
    <r>
      <rPr>
        <sz val="12"/>
        <color theme="1"/>
        <rFont val="Symbol"/>
        <family val="1"/>
        <charset val="2"/>
      </rPr>
      <t>f</t>
    </r>
    <r>
      <rPr>
        <vertAlign val="subscript"/>
        <sz val="12"/>
        <color theme="1"/>
        <rFont val="Times New Roman"/>
        <family val="1"/>
      </rPr>
      <t>1</t>
    </r>
    <r>
      <rPr>
        <sz val="12"/>
        <color theme="1"/>
        <rFont val="Times New Roman"/>
        <family val="1"/>
      </rPr>
      <t>c</t>
    </r>
    <r>
      <rPr>
        <vertAlign val="subscript"/>
        <sz val="12"/>
        <color theme="1"/>
        <rFont val="Times New Roman"/>
        <family val="1"/>
      </rPr>
      <t>4</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c</t>
    </r>
    <r>
      <rPr>
        <vertAlign val="subscript"/>
        <sz val="12"/>
        <color theme="1"/>
        <rFont val="Times New Roman"/>
        <family val="1"/>
      </rPr>
      <t xml:space="preserve">3 </t>
    </r>
    <r>
      <rPr>
        <sz val="12"/>
        <color theme="1"/>
        <rFont val="Times New Roman"/>
        <family val="1"/>
      </rPr>
      <t xml:space="preserve">+ </t>
    </r>
    <r>
      <rPr>
        <sz val="12"/>
        <color theme="1"/>
        <rFont val="Symbol"/>
        <family val="1"/>
        <charset val="2"/>
      </rPr>
      <t>f</t>
    </r>
    <r>
      <rPr>
        <vertAlign val="subscript"/>
        <sz val="12"/>
        <color theme="1"/>
        <rFont val="Times New Roman"/>
        <family val="1"/>
      </rPr>
      <t>3</t>
    </r>
    <r>
      <rPr>
        <sz val="12"/>
        <color theme="1"/>
        <rFont val="Times New Roman"/>
        <family val="1"/>
      </rPr>
      <t>c</t>
    </r>
    <r>
      <rPr>
        <vertAlign val="subscript"/>
        <sz val="12"/>
        <color theme="1"/>
        <rFont val="Times New Roman"/>
        <family val="1"/>
      </rPr>
      <t>2</t>
    </r>
    <r>
      <rPr>
        <sz val="12"/>
        <color theme="1"/>
        <rFont val="Times New Roman"/>
        <family val="1"/>
      </rPr>
      <t xml:space="preserve"> - c</t>
    </r>
    <r>
      <rPr>
        <vertAlign val="subscript"/>
        <sz val="12"/>
        <color theme="1"/>
        <rFont val="Times New Roman"/>
        <family val="1"/>
      </rPr>
      <t>5</t>
    </r>
    <r>
      <rPr>
        <sz val="12"/>
        <color theme="1"/>
        <rFont val="Times New Roman"/>
        <family val="1"/>
      </rPr>
      <t xml:space="preserve"> = 0</t>
    </r>
  </si>
  <si>
    <r>
      <rPr>
        <sz val="12"/>
        <color theme="1"/>
        <rFont val="Symbol"/>
        <family val="1"/>
        <charset val="2"/>
      </rPr>
      <t>f</t>
    </r>
    <r>
      <rPr>
        <vertAlign val="subscript"/>
        <sz val="12"/>
        <color theme="1"/>
        <rFont val="Times New Roman"/>
        <family val="1"/>
      </rPr>
      <t>1</t>
    </r>
    <r>
      <rPr>
        <sz val="12"/>
        <color theme="1"/>
        <rFont val="Times New Roman"/>
        <family val="1"/>
      </rPr>
      <t>c</t>
    </r>
    <r>
      <rPr>
        <vertAlign val="subscript"/>
        <sz val="12"/>
        <color theme="1"/>
        <rFont val="Times New Roman"/>
        <family val="1"/>
      </rPr>
      <t>5</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c</t>
    </r>
    <r>
      <rPr>
        <vertAlign val="subscript"/>
        <sz val="12"/>
        <color theme="1"/>
        <rFont val="Times New Roman"/>
        <family val="1"/>
      </rPr>
      <t xml:space="preserve">4 </t>
    </r>
    <r>
      <rPr>
        <sz val="12"/>
        <color theme="1"/>
        <rFont val="Times New Roman"/>
        <family val="1"/>
      </rPr>
      <t xml:space="preserve">+ </t>
    </r>
    <r>
      <rPr>
        <sz val="12"/>
        <color theme="1"/>
        <rFont val="Symbol"/>
        <family val="1"/>
        <charset val="2"/>
      </rPr>
      <t>f</t>
    </r>
    <r>
      <rPr>
        <vertAlign val="subscript"/>
        <sz val="12"/>
        <color theme="1"/>
        <rFont val="Times New Roman"/>
        <family val="1"/>
      </rPr>
      <t>3</t>
    </r>
    <r>
      <rPr>
        <sz val="12"/>
        <color theme="1"/>
        <rFont val="Times New Roman"/>
        <family val="1"/>
      </rPr>
      <t>c</t>
    </r>
    <r>
      <rPr>
        <vertAlign val="subscript"/>
        <sz val="12"/>
        <color theme="1"/>
        <rFont val="Times New Roman"/>
        <family val="1"/>
      </rPr>
      <t>3</t>
    </r>
    <r>
      <rPr>
        <sz val="12"/>
        <color theme="1"/>
        <rFont val="Times New Roman"/>
        <family val="1"/>
      </rPr>
      <t xml:space="preserve"> - c</t>
    </r>
    <r>
      <rPr>
        <vertAlign val="subscript"/>
        <sz val="12"/>
        <color theme="1"/>
        <rFont val="Times New Roman"/>
        <family val="1"/>
      </rPr>
      <t>6</t>
    </r>
    <r>
      <rPr>
        <sz val="12"/>
        <color theme="1"/>
        <rFont val="Times New Roman"/>
        <family val="1"/>
      </rPr>
      <t xml:space="preserve"> = 0</t>
    </r>
  </si>
  <si>
    <t>=B18*B14-B15</t>
  </si>
  <si>
    <t>=B18*B14+B19*B13-B15</t>
  </si>
  <si>
    <t>=B18*B15+B19*B14-B16</t>
  </si>
  <si>
    <t>=B18*B14+B19*B13+B20*B12-B15</t>
  </si>
  <si>
    <t>=B18*B15+B19*B14+B20*B13-B16</t>
  </si>
  <si>
    <t>=B18*B16+B19*B15+B20*B14-B17</t>
  </si>
  <si>
    <t>=B30*B26-B27</t>
  </si>
  <si>
    <t>=B30*B26+B31*B25-B27</t>
  </si>
  <si>
    <t>=B30*B27+B31*B26-B28</t>
  </si>
  <si>
    <t>=B30*B26+B31*B25+B32*B24-B27</t>
  </si>
  <si>
    <t>=B30*B27+B31*B26+B32*B25-B28</t>
  </si>
  <si>
    <t>=B30*B28+B31*B27+B32*B26-B29</t>
  </si>
  <si>
    <t>Target/Objective</t>
  </si>
  <si>
    <r>
      <t>c</t>
    </r>
    <r>
      <rPr>
        <vertAlign val="subscript"/>
        <sz val="11"/>
        <color theme="1"/>
        <rFont val="Calibri"/>
        <family val="2"/>
        <scheme val="minor"/>
      </rPr>
      <t>0</t>
    </r>
    <r>
      <rPr>
        <sz val="11"/>
        <color theme="1"/>
        <rFont val="Calibri"/>
        <family val="2"/>
        <scheme val="minor"/>
      </rPr>
      <t>’</t>
    </r>
  </si>
  <si>
    <r>
      <t>c</t>
    </r>
    <r>
      <rPr>
        <vertAlign val="subscript"/>
        <sz val="11"/>
        <color theme="1"/>
        <rFont val="Calibri"/>
        <family val="2"/>
        <scheme val="minor"/>
      </rPr>
      <t>1</t>
    </r>
    <r>
      <rPr>
        <sz val="11"/>
        <color theme="1"/>
        <rFont val="Calibri"/>
        <family val="2"/>
        <scheme val="minor"/>
      </rPr>
      <t>’</t>
    </r>
  </si>
  <si>
    <r>
      <t>σ</t>
    </r>
    <r>
      <rPr>
        <vertAlign val="subscript"/>
        <sz val="11"/>
        <color theme="1"/>
        <rFont val="Calibri"/>
        <family val="2"/>
        <scheme val="minor"/>
      </rPr>
      <t>a</t>
    </r>
    <r>
      <rPr>
        <vertAlign val="superscript"/>
        <sz val="11"/>
        <color theme="1"/>
        <rFont val="Calibri"/>
        <family val="2"/>
        <scheme val="minor"/>
      </rPr>
      <t>2</t>
    </r>
  </si>
  <si>
    <r>
      <t>θ</t>
    </r>
    <r>
      <rPr>
        <vertAlign val="subscript"/>
        <sz val="11"/>
        <color theme="1"/>
        <rFont val="Calibri"/>
        <family val="2"/>
        <scheme val="minor"/>
      </rPr>
      <t>1</t>
    </r>
  </si>
  <si>
    <r>
      <t>c</t>
    </r>
    <r>
      <rPr>
        <vertAlign val="subscript"/>
        <sz val="11"/>
        <color theme="1"/>
        <rFont val="Calibri"/>
        <family val="2"/>
        <scheme val="minor"/>
      </rPr>
      <t>2</t>
    </r>
    <r>
      <rPr>
        <sz val="11"/>
        <color theme="1"/>
        <rFont val="Calibri"/>
        <family val="2"/>
        <scheme val="minor"/>
      </rPr>
      <t>’</t>
    </r>
  </si>
  <si>
    <r>
      <t>θ</t>
    </r>
    <r>
      <rPr>
        <vertAlign val="subscript"/>
        <sz val="11"/>
        <color theme="1"/>
        <rFont val="Calibri"/>
        <family val="2"/>
        <scheme val="minor"/>
      </rPr>
      <t>2</t>
    </r>
  </si>
  <si>
    <r>
      <t>c</t>
    </r>
    <r>
      <rPr>
        <vertAlign val="subscript"/>
        <sz val="11"/>
        <color theme="1"/>
        <rFont val="Calibri"/>
        <family val="2"/>
        <scheme val="minor"/>
      </rPr>
      <t>3</t>
    </r>
    <r>
      <rPr>
        <sz val="11"/>
        <color theme="1"/>
        <rFont val="Calibri"/>
        <family val="2"/>
        <scheme val="minor"/>
      </rPr>
      <t>’</t>
    </r>
  </si>
  <si>
    <r>
      <t>θ</t>
    </r>
    <r>
      <rPr>
        <vertAlign val="subscript"/>
        <sz val="11"/>
        <color theme="1"/>
        <rFont val="Calibri"/>
        <family val="2"/>
        <scheme val="minor"/>
      </rPr>
      <t>3</t>
    </r>
  </si>
  <si>
    <r>
      <rPr>
        <sz val="12"/>
        <color theme="1"/>
        <rFont val="Calibri"/>
        <family val="2"/>
        <scheme val="minor"/>
      </rPr>
      <t>c</t>
    </r>
    <r>
      <rPr>
        <vertAlign val="subscript"/>
        <sz val="12"/>
        <color theme="1"/>
        <rFont val="Calibri"/>
        <family val="2"/>
        <scheme val="minor"/>
      </rPr>
      <t>o</t>
    </r>
    <r>
      <rPr>
        <sz val="12"/>
        <color theme="1"/>
        <rFont val="Calibri"/>
        <family val="2"/>
        <scheme val="minor"/>
      </rPr>
      <t xml:space="preserve">' </t>
    </r>
    <r>
      <rPr>
        <sz val="12"/>
        <color theme="1"/>
        <rFont val="Symbol"/>
        <family val="2"/>
        <charset val="2"/>
      </rPr>
      <t xml:space="preserve">= </t>
    </r>
    <r>
      <rPr>
        <sz val="12"/>
        <color theme="1"/>
        <rFont val="Calibri"/>
        <family val="2"/>
        <scheme val="minor"/>
      </rPr>
      <t>c</t>
    </r>
    <r>
      <rPr>
        <vertAlign val="subscript"/>
        <sz val="12"/>
        <color theme="1"/>
        <rFont val="Calibri"/>
        <family val="2"/>
        <scheme val="minor"/>
      </rPr>
      <t>0</t>
    </r>
    <r>
      <rPr>
        <sz val="12"/>
        <color theme="1"/>
        <rFont val="Symbol"/>
        <family val="1"/>
        <charset val="2"/>
      </rPr>
      <t>(1+f</t>
    </r>
    <r>
      <rPr>
        <vertAlign val="subscript"/>
        <sz val="12"/>
        <color theme="1"/>
        <rFont val="Symbol"/>
        <family val="1"/>
        <charset val="2"/>
      </rPr>
      <t>1</t>
    </r>
    <r>
      <rPr>
        <sz val="12"/>
        <color theme="1"/>
        <rFont val="Symbol"/>
        <family val="1"/>
        <charset val="2"/>
      </rPr>
      <t>) - f</t>
    </r>
    <r>
      <rPr>
        <vertAlign val="subscript"/>
        <sz val="12"/>
        <color theme="1"/>
        <rFont val="Symbol"/>
        <family val="1"/>
        <charset val="2"/>
      </rPr>
      <t>1</t>
    </r>
    <r>
      <rPr>
        <sz val="12"/>
        <color theme="1"/>
        <rFont val="Calibri"/>
        <family val="2"/>
        <scheme val="minor"/>
      </rPr>
      <t>c</t>
    </r>
    <r>
      <rPr>
        <vertAlign val="subscript"/>
        <sz val="12"/>
        <color theme="1"/>
        <rFont val="Calibri"/>
        <family val="2"/>
        <scheme val="minor"/>
      </rPr>
      <t>1</t>
    </r>
    <r>
      <rPr>
        <sz val="12"/>
        <color theme="1"/>
        <rFont val="Symbol"/>
        <family val="1"/>
        <charset val="2"/>
      </rPr>
      <t xml:space="preserve"> </t>
    </r>
  </si>
  <si>
    <r>
      <rPr>
        <sz val="12"/>
        <color theme="1"/>
        <rFont val="Calibri"/>
        <family val="2"/>
        <scheme val="minor"/>
      </rPr>
      <t>c</t>
    </r>
    <r>
      <rPr>
        <vertAlign val="subscript"/>
        <sz val="12"/>
        <color theme="1"/>
        <rFont val="Calibri"/>
        <family val="2"/>
        <scheme val="minor"/>
      </rPr>
      <t>1</t>
    </r>
    <r>
      <rPr>
        <sz val="12"/>
        <color theme="1"/>
        <rFont val="Calibri"/>
        <family val="2"/>
        <scheme val="minor"/>
      </rPr>
      <t>'</t>
    </r>
    <r>
      <rPr>
        <sz val="12"/>
        <color theme="1"/>
        <rFont val="Symbol"/>
        <family val="2"/>
        <charset val="2"/>
      </rPr>
      <t xml:space="preserve"> = </t>
    </r>
    <r>
      <rPr>
        <sz val="12"/>
        <color theme="1"/>
        <rFont val="Calibri"/>
        <family val="2"/>
        <scheme val="minor"/>
      </rPr>
      <t>c</t>
    </r>
    <r>
      <rPr>
        <vertAlign val="subscript"/>
        <sz val="12"/>
        <color theme="1"/>
        <rFont val="Calibri"/>
        <family val="2"/>
        <scheme val="minor"/>
      </rPr>
      <t>1</t>
    </r>
    <r>
      <rPr>
        <sz val="12"/>
        <color theme="1"/>
        <rFont val="Symbol"/>
        <family val="1"/>
        <charset val="2"/>
      </rPr>
      <t>(1+f</t>
    </r>
    <r>
      <rPr>
        <vertAlign val="subscript"/>
        <sz val="12"/>
        <color theme="1"/>
        <rFont val="Symbol"/>
        <family val="1"/>
        <charset val="2"/>
      </rPr>
      <t>1</t>
    </r>
    <r>
      <rPr>
        <vertAlign val="superscript"/>
        <sz val="12"/>
        <color theme="1"/>
        <rFont val="Symbol"/>
        <family val="1"/>
        <charset val="2"/>
      </rPr>
      <t>2</t>
    </r>
    <r>
      <rPr>
        <sz val="12"/>
        <color theme="1"/>
        <rFont val="Symbol"/>
        <family val="1"/>
        <charset val="2"/>
      </rPr>
      <t>) - f</t>
    </r>
    <r>
      <rPr>
        <vertAlign val="subscript"/>
        <sz val="12"/>
        <color theme="1"/>
        <rFont val="Symbol"/>
        <family val="1"/>
        <charset val="2"/>
      </rPr>
      <t>1</t>
    </r>
    <r>
      <rPr>
        <sz val="12"/>
        <color theme="1"/>
        <rFont val="Symbol"/>
        <family val="1"/>
        <charset val="2"/>
      </rPr>
      <t>(</t>
    </r>
    <r>
      <rPr>
        <sz val="12"/>
        <color theme="1"/>
        <rFont val="Calibri"/>
        <family val="2"/>
        <scheme val="minor"/>
      </rPr>
      <t>c</t>
    </r>
    <r>
      <rPr>
        <vertAlign val="subscript"/>
        <sz val="12"/>
        <color theme="1"/>
        <rFont val="Calibri"/>
        <family val="2"/>
        <scheme val="minor"/>
      </rPr>
      <t xml:space="preserve">2 </t>
    </r>
    <r>
      <rPr>
        <sz val="12"/>
        <color theme="1"/>
        <rFont val="Calibri"/>
        <family val="2"/>
        <scheme val="minor"/>
      </rPr>
      <t>+c</t>
    </r>
    <r>
      <rPr>
        <vertAlign val="subscript"/>
        <sz val="12"/>
        <color theme="1"/>
        <rFont val="Calibri"/>
        <family val="2"/>
        <scheme val="minor"/>
      </rPr>
      <t>0</t>
    </r>
    <r>
      <rPr>
        <sz val="12"/>
        <color theme="1"/>
        <rFont val="Calibri"/>
        <family val="2"/>
        <scheme val="minor"/>
      </rPr>
      <t xml:space="preserve">) </t>
    </r>
  </si>
  <si>
    <r>
      <rPr>
        <sz val="12"/>
        <color theme="1"/>
        <rFont val="Calibri"/>
        <family val="2"/>
        <scheme val="minor"/>
      </rPr>
      <t>c</t>
    </r>
    <r>
      <rPr>
        <vertAlign val="subscript"/>
        <sz val="12"/>
        <color theme="1"/>
        <rFont val="Calibri"/>
        <family val="2"/>
        <scheme val="minor"/>
      </rPr>
      <t>2</t>
    </r>
    <r>
      <rPr>
        <sz val="12"/>
        <color theme="1"/>
        <rFont val="Calibri"/>
        <family val="2"/>
        <scheme val="minor"/>
      </rPr>
      <t>' = c</t>
    </r>
    <r>
      <rPr>
        <vertAlign val="subscript"/>
        <sz val="12"/>
        <color theme="1"/>
        <rFont val="Calibri"/>
        <family val="2"/>
        <scheme val="minor"/>
      </rPr>
      <t>2</t>
    </r>
    <r>
      <rPr>
        <sz val="12"/>
        <color theme="1"/>
        <rFont val="Symbol"/>
        <family val="1"/>
        <charset val="2"/>
      </rPr>
      <t>(1+f</t>
    </r>
    <r>
      <rPr>
        <vertAlign val="subscript"/>
        <sz val="12"/>
        <color theme="1"/>
        <rFont val="Symbol"/>
        <family val="1"/>
        <charset val="2"/>
      </rPr>
      <t>1</t>
    </r>
    <r>
      <rPr>
        <vertAlign val="superscript"/>
        <sz val="12"/>
        <color theme="1"/>
        <rFont val="Symbol"/>
        <family val="1"/>
        <charset val="2"/>
      </rPr>
      <t>2</t>
    </r>
    <r>
      <rPr>
        <sz val="12"/>
        <color theme="1"/>
        <rFont val="Symbol"/>
        <family val="1"/>
        <charset val="2"/>
      </rPr>
      <t>) - f</t>
    </r>
    <r>
      <rPr>
        <vertAlign val="subscript"/>
        <sz val="12"/>
        <color theme="1"/>
        <rFont val="Symbol"/>
        <family val="1"/>
        <charset val="2"/>
      </rPr>
      <t>1</t>
    </r>
    <r>
      <rPr>
        <sz val="12"/>
        <color theme="1"/>
        <rFont val="Symbol"/>
        <family val="1"/>
        <charset val="2"/>
      </rPr>
      <t>(</t>
    </r>
    <r>
      <rPr>
        <sz val="12"/>
        <color theme="1"/>
        <rFont val="Calibri"/>
        <family val="2"/>
        <scheme val="minor"/>
      </rPr>
      <t>c</t>
    </r>
    <r>
      <rPr>
        <vertAlign val="subscript"/>
        <sz val="12"/>
        <color theme="1"/>
        <rFont val="Calibri"/>
        <family val="2"/>
        <scheme val="minor"/>
      </rPr>
      <t xml:space="preserve">3 </t>
    </r>
    <r>
      <rPr>
        <sz val="12"/>
        <color theme="1"/>
        <rFont val="Calibri"/>
        <family val="2"/>
        <scheme val="minor"/>
      </rPr>
      <t>+c</t>
    </r>
    <r>
      <rPr>
        <vertAlign val="subscript"/>
        <sz val="12"/>
        <color theme="1"/>
        <rFont val="Calibri"/>
        <family val="2"/>
        <scheme val="minor"/>
      </rPr>
      <t>1</t>
    </r>
    <r>
      <rPr>
        <sz val="12"/>
        <color theme="1"/>
        <rFont val="Calibri"/>
        <family val="2"/>
        <scheme val="minor"/>
      </rPr>
      <t xml:space="preserve">) </t>
    </r>
  </si>
  <si>
    <r>
      <rPr>
        <sz val="12"/>
        <color theme="1"/>
        <rFont val="Calibri"/>
        <family val="2"/>
        <scheme val="minor"/>
      </rPr>
      <t>c</t>
    </r>
    <r>
      <rPr>
        <vertAlign val="subscript"/>
        <sz val="12"/>
        <color theme="1"/>
        <rFont val="Calibri"/>
        <family val="2"/>
        <scheme val="minor"/>
      </rPr>
      <t>3</t>
    </r>
    <r>
      <rPr>
        <sz val="12"/>
        <color theme="1"/>
        <rFont val="Calibri"/>
        <family val="2"/>
        <scheme val="minor"/>
      </rPr>
      <t>' = c</t>
    </r>
    <r>
      <rPr>
        <vertAlign val="subscript"/>
        <sz val="12"/>
        <color theme="1"/>
        <rFont val="Calibri"/>
        <family val="2"/>
        <scheme val="minor"/>
      </rPr>
      <t>3</t>
    </r>
    <r>
      <rPr>
        <sz val="12"/>
        <color theme="1"/>
        <rFont val="Symbol"/>
        <family val="1"/>
        <charset val="2"/>
      </rPr>
      <t>(1+f</t>
    </r>
    <r>
      <rPr>
        <vertAlign val="subscript"/>
        <sz val="12"/>
        <color theme="1"/>
        <rFont val="Symbol"/>
        <family val="1"/>
        <charset val="2"/>
      </rPr>
      <t>1</t>
    </r>
    <r>
      <rPr>
        <vertAlign val="superscript"/>
        <sz val="12"/>
        <color theme="1"/>
        <rFont val="Symbol"/>
        <family val="1"/>
        <charset val="2"/>
      </rPr>
      <t>2</t>
    </r>
    <r>
      <rPr>
        <sz val="12"/>
        <color theme="1"/>
        <rFont val="Symbol"/>
        <family val="1"/>
        <charset val="2"/>
      </rPr>
      <t>) - f</t>
    </r>
    <r>
      <rPr>
        <vertAlign val="subscript"/>
        <sz val="12"/>
        <color theme="1"/>
        <rFont val="Symbol"/>
        <family val="1"/>
        <charset val="2"/>
      </rPr>
      <t>1</t>
    </r>
    <r>
      <rPr>
        <sz val="12"/>
        <color theme="1"/>
        <rFont val="Symbol"/>
        <family val="1"/>
        <charset val="2"/>
      </rPr>
      <t>(</t>
    </r>
    <r>
      <rPr>
        <sz val="12"/>
        <color theme="1"/>
        <rFont val="Calibri"/>
        <family val="2"/>
        <scheme val="minor"/>
      </rPr>
      <t>c</t>
    </r>
    <r>
      <rPr>
        <vertAlign val="subscript"/>
        <sz val="12"/>
        <color theme="1"/>
        <rFont val="Calibri"/>
        <family val="2"/>
        <scheme val="minor"/>
      </rPr>
      <t xml:space="preserve">4 </t>
    </r>
    <r>
      <rPr>
        <sz val="12"/>
        <color theme="1"/>
        <rFont val="Calibri"/>
        <family val="2"/>
        <scheme val="minor"/>
      </rPr>
      <t>+c</t>
    </r>
    <r>
      <rPr>
        <vertAlign val="subscript"/>
        <sz val="12"/>
        <color theme="1"/>
        <rFont val="Calibri"/>
        <family val="2"/>
        <scheme val="minor"/>
      </rPr>
      <t>2</t>
    </r>
    <r>
      <rPr>
        <sz val="12"/>
        <color theme="1"/>
        <rFont val="Calibri"/>
        <family val="2"/>
        <scheme val="minor"/>
      </rPr>
      <t xml:space="preserve">) </t>
    </r>
  </si>
  <si>
    <r>
      <rPr>
        <sz val="12"/>
        <color theme="1"/>
        <rFont val="Calibri"/>
        <family val="2"/>
        <scheme val="minor"/>
      </rPr>
      <t>c</t>
    </r>
    <r>
      <rPr>
        <vertAlign val="subscript"/>
        <sz val="12"/>
        <color theme="1"/>
        <rFont val="Calibri"/>
        <family val="2"/>
        <scheme val="minor"/>
      </rPr>
      <t>o</t>
    </r>
    <r>
      <rPr>
        <sz val="12"/>
        <color theme="1"/>
        <rFont val="Calibri"/>
        <family val="2"/>
        <scheme val="minor"/>
      </rPr>
      <t xml:space="preserve">' </t>
    </r>
    <r>
      <rPr>
        <sz val="12"/>
        <color theme="1"/>
        <rFont val="Symbol"/>
        <family val="2"/>
        <charset val="2"/>
      </rPr>
      <t xml:space="preserve">= </t>
    </r>
    <r>
      <rPr>
        <sz val="12"/>
        <color theme="1"/>
        <rFont val="Calibri"/>
        <family val="2"/>
        <scheme val="minor"/>
      </rPr>
      <t>c</t>
    </r>
    <r>
      <rPr>
        <vertAlign val="subscript"/>
        <sz val="12"/>
        <color theme="1"/>
        <rFont val="Calibri"/>
        <family val="2"/>
        <scheme val="minor"/>
      </rPr>
      <t>0</t>
    </r>
    <r>
      <rPr>
        <sz val="12"/>
        <color theme="1"/>
        <rFont val="Symbol"/>
        <family val="1"/>
        <charset val="2"/>
      </rPr>
      <t>(1+f</t>
    </r>
    <r>
      <rPr>
        <vertAlign val="subscript"/>
        <sz val="12"/>
        <color theme="1"/>
        <rFont val="Symbol"/>
        <family val="1"/>
        <charset val="2"/>
      </rPr>
      <t>1</t>
    </r>
    <r>
      <rPr>
        <vertAlign val="superscript"/>
        <sz val="12"/>
        <color theme="1"/>
        <rFont val="Symbol"/>
        <family val="1"/>
        <charset val="2"/>
      </rPr>
      <t>2</t>
    </r>
    <r>
      <rPr>
        <sz val="12"/>
        <color theme="1"/>
        <rFont val="Symbol"/>
        <family val="1"/>
        <charset val="2"/>
      </rPr>
      <t>+f</t>
    </r>
    <r>
      <rPr>
        <vertAlign val="subscript"/>
        <sz val="12"/>
        <color theme="1"/>
        <rFont val="Symbol"/>
        <family val="1"/>
        <charset val="2"/>
      </rPr>
      <t>2</t>
    </r>
    <r>
      <rPr>
        <vertAlign val="superscript"/>
        <sz val="12"/>
        <color theme="1"/>
        <rFont val="Symbol"/>
        <family val="1"/>
        <charset val="2"/>
      </rPr>
      <t>2</t>
    </r>
    <r>
      <rPr>
        <sz val="12"/>
        <color theme="1"/>
        <rFont val="Symbol"/>
        <family val="1"/>
        <charset val="2"/>
      </rPr>
      <t>) - (f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2</t>
    </r>
    <r>
      <rPr>
        <sz val="12"/>
        <color theme="1"/>
        <rFont val="Symbol"/>
        <family val="1"/>
        <charset val="2"/>
      </rPr>
      <t>)</t>
    </r>
    <r>
      <rPr>
        <sz val="12"/>
        <color theme="1"/>
        <rFont val="Calibri"/>
        <family val="2"/>
        <scheme val="minor"/>
      </rPr>
      <t>c</t>
    </r>
    <r>
      <rPr>
        <vertAlign val="subscript"/>
        <sz val="12"/>
        <color theme="1"/>
        <rFont val="Calibri"/>
        <family val="2"/>
        <scheme val="minor"/>
      </rPr>
      <t>1</t>
    </r>
    <r>
      <rPr>
        <sz val="12"/>
        <color theme="1"/>
        <rFont val="Symbol"/>
        <family val="1"/>
        <charset val="2"/>
      </rPr>
      <t xml:space="preserve"> </t>
    </r>
  </si>
  <si>
    <r>
      <rPr>
        <sz val="12"/>
        <color theme="1"/>
        <rFont val="Calibri"/>
        <family val="2"/>
        <scheme val="minor"/>
      </rPr>
      <t>c</t>
    </r>
    <r>
      <rPr>
        <vertAlign val="subscript"/>
        <sz val="12"/>
        <color theme="1"/>
        <rFont val="Calibri"/>
        <family val="2"/>
        <scheme val="minor"/>
      </rPr>
      <t>1</t>
    </r>
    <r>
      <rPr>
        <sz val="12"/>
        <color theme="1"/>
        <rFont val="Calibri"/>
        <family val="2"/>
        <scheme val="minor"/>
      </rPr>
      <t xml:space="preserve">' </t>
    </r>
    <r>
      <rPr>
        <sz val="12"/>
        <color theme="1"/>
        <rFont val="Symbol"/>
        <family val="2"/>
        <charset val="2"/>
      </rPr>
      <t xml:space="preserve">= </t>
    </r>
    <r>
      <rPr>
        <sz val="12"/>
        <color theme="1"/>
        <rFont val="Calibri"/>
        <family val="2"/>
        <scheme val="minor"/>
      </rPr>
      <t>c</t>
    </r>
    <r>
      <rPr>
        <vertAlign val="subscript"/>
        <sz val="12"/>
        <color theme="1"/>
        <rFont val="Calibri"/>
        <family val="2"/>
        <scheme val="minor"/>
      </rPr>
      <t>1</t>
    </r>
    <r>
      <rPr>
        <sz val="12"/>
        <color theme="1"/>
        <rFont val="Symbol"/>
        <family val="1"/>
        <charset val="2"/>
      </rPr>
      <t>(1+f</t>
    </r>
    <r>
      <rPr>
        <vertAlign val="subscript"/>
        <sz val="12"/>
        <color theme="1"/>
        <rFont val="Symbol"/>
        <family val="1"/>
        <charset val="2"/>
      </rPr>
      <t>1</t>
    </r>
    <r>
      <rPr>
        <vertAlign val="superscript"/>
        <sz val="12"/>
        <color theme="1"/>
        <rFont val="Symbol"/>
        <family val="1"/>
        <charset val="2"/>
      </rPr>
      <t>2</t>
    </r>
    <r>
      <rPr>
        <sz val="12"/>
        <color theme="1"/>
        <rFont val="Symbol"/>
        <family val="1"/>
        <charset val="2"/>
      </rPr>
      <t>+f</t>
    </r>
    <r>
      <rPr>
        <vertAlign val="subscript"/>
        <sz val="12"/>
        <color theme="1"/>
        <rFont val="Symbol"/>
        <family val="1"/>
        <charset val="2"/>
      </rPr>
      <t>2</t>
    </r>
    <r>
      <rPr>
        <vertAlign val="superscript"/>
        <sz val="12"/>
        <color theme="1"/>
        <rFont val="Symbol"/>
        <family val="1"/>
        <charset val="2"/>
      </rPr>
      <t>2</t>
    </r>
    <r>
      <rPr>
        <sz val="12"/>
        <color theme="1"/>
        <rFont val="Symbol"/>
        <family val="1"/>
        <charset val="2"/>
      </rPr>
      <t>) - [(f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2</t>
    </r>
    <r>
      <rPr>
        <sz val="12"/>
        <color theme="1"/>
        <rFont val="Symbol"/>
        <family val="1"/>
        <charset val="2"/>
      </rPr>
      <t>)(</t>
    </r>
    <r>
      <rPr>
        <sz val="12"/>
        <color theme="1"/>
        <rFont val="Calibri"/>
        <family val="2"/>
        <scheme val="minor"/>
      </rPr>
      <t>c</t>
    </r>
    <r>
      <rPr>
        <vertAlign val="subscript"/>
        <sz val="12"/>
        <color theme="1"/>
        <rFont val="Calibri"/>
        <family val="2"/>
        <scheme val="minor"/>
      </rPr>
      <t>1</t>
    </r>
    <r>
      <rPr>
        <sz val="12"/>
        <color theme="1"/>
        <rFont val="Calibri"/>
        <family val="2"/>
        <scheme val="minor"/>
      </rPr>
      <t>+c</t>
    </r>
    <r>
      <rPr>
        <vertAlign val="subscript"/>
        <sz val="12"/>
        <color theme="1"/>
        <rFont val="Calibri"/>
        <family val="2"/>
        <scheme val="minor"/>
      </rPr>
      <t>0</t>
    </r>
    <r>
      <rPr>
        <sz val="12"/>
        <color theme="1"/>
        <rFont val="Calibri"/>
        <family val="2"/>
        <scheme val="minor"/>
      </rPr>
      <t>)]</t>
    </r>
    <r>
      <rPr>
        <sz val="12"/>
        <color theme="1"/>
        <rFont val="Symbol"/>
        <family val="1"/>
        <charset val="2"/>
      </rPr>
      <t xml:space="preserve"> </t>
    </r>
  </si>
  <si>
    <r>
      <rPr>
        <sz val="12"/>
        <color theme="1"/>
        <rFont val="Calibri"/>
        <family val="2"/>
        <scheme val="minor"/>
      </rPr>
      <t>c</t>
    </r>
    <r>
      <rPr>
        <vertAlign val="subscript"/>
        <sz val="12"/>
        <color theme="1"/>
        <rFont val="Calibri"/>
        <family val="2"/>
        <scheme val="minor"/>
      </rPr>
      <t>1</t>
    </r>
    <r>
      <rPr>
        <sz val="12"/>
        <color theme="1"/>
        <rFont val="Calibri"/>
        <family val="2"/>
        <scheme val="minor"/>
      </rPr>
      <t xml:space="preserve">' </t>
    </r>
    <r>
      <rPr>
        <sz val="12"/>
        <color theme="1"/>
        <rFont val="Symbol"/>
        <family val="2"/>
        <charset val="2"/>
      </rPr>
      <t xml:space="preserve">= </t>
    </r>
    <r>
      <rPr>
        <sz val="12"/>
        <color theme="1"/>
        <rFont val="Calibri"/>
        <family val="2"/>
        <scheme val="minor"/>
      </rPr>
      <t>c</t>
    </r>
    <r>
      <rPr>
        <vertAlign val="subscript"/>
        <sz val="12"/>
        <color theme="1"/>
        <rFont val="Calibri"/>
        <family val="2"/>
        <scheme val="minor"/>
      </rPr>
      <t>1</t>
    </r>
    <r>
      <rPr>
        <sz val="12"/>
        <color theme="1"/>
        <rFont val="Symbol"/>
        <family val="1"/>
        <charset val="2"/>
      </rPr>
      <t>(1+f</t>
    </r>
    <r>
      <rPr>
        <vertAlign val="subscript"/>
        <sz val="12"/>
        <color theme="1"/>
        <rFont val="Symbol"/>
        <family val="1"/>
        <charset val="2"/>
      </rPr>
      <t>1</t>
    </r>
    <r>
      <rPr>
        <vertAlign val="superscript"/>
        <sz val="12"/>
        <color theme="1"/>
        <rFont val="Symbol"/>
        <family val="1"/>
        <charset val="2"/>
      </rPr>
      <t>2</t>
    </r>
    <r>
      <rPr>
        <sz val="12"/>
        <color theme="1"/>
        <rFont val="Symbol"/>
        <family val="1"/>
        <charset val="2"/>
      </rPr>
      <t>+f</t>
    </r>
    <r>
      <rPr>
        <vertAlign val="subscript"/>
        <sz val="12"/>
        <color theme="1"/>
        <rFont val="Symbol"/>
        <family val="1"/>
        <charset val="2"/>
      </rPr>
      <t>2</t>
    </r>
    <r>
      <rPr>
        <vertAlign val="superscript"/>
        <sz val="12"/>
        <color theme="1"/>
        <rFont val="Symbol"/>
        <family val="1"/>
        <charset val="2"/>
      </rPr>
      <t>2</t>
    </r>
    <r>
      <rPr>
        <sz val="12"/>
        <color theme="1"/>
        <rFont val="Symbol"/>
        <family val="1"/>
        <charset val="2"/>
      </rPr>
      <t>) - [(f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2</t>
    </r>
    <r>
      <rPr>
        <sz val="12"/>
        <color theme="1"/>
        <rFont val="Symbol"/>
        <family val="1"/>
        <charset val="2"/>
      </rPr>
      <t>)(</t>
    </r>
    <r>
      <rPr>
        <sz val="12"/>
        <color theme="1"/>
        <rFont val="Calibri"/>
        <family val="2"/>
        <scheme val="minor"/>
      </rPr>
      <t>c</t>
    </r>
    <r>
      <rPr>
        <vertAlign val="subscript"/>
        <sz val="12"/>
        <color theme="1"/>
        <rFont val="Calibri"/>
        <family val="2"/>
        <scheme val="minor"/>
      </rPr>
      <t>2</t>
    </r>
    <r>
      <rPr>
        <sz val="12"/>
        <color theme="1"/>
        <rFont val="Calibri"/>
        <family val="2"/>
        <scheme val="minor"/>
      </rPr>
      <t>+c</t>
    </r>
    <r>
      <rPr>
        <vertAlign val="subscript"/>
        <sz val="12"/>
        <color theme="1"/>
        <rFont val="Calibri"/>
        <family val="2"/>
        <scheme val="minor"/>
      </rPr>
      <t>0</t>
    </r>
    <r>
      <rPr>
        <sz val="12"/>
        <color theme="1"/>
        <rFont val="Calibri"/>
        <family val="2"/>
        <scheme val="minor"/>
      </rPr>
      <t>)]</t>
    </r>
    <r>
      <rPr>
        <sz val="12"/>
        <color theme="1"/>
        <rFont val="Symbol"/>
        <family val="1"/>
        <charset val="2"/>
      </rPr>
      <t xml:space="preserve"> </t>
    </r>
  </si>
  <si>
    <r>
      <rPr>
        <sz val="12"/>
        <color theme="1"/>
        <rFont val="Calibri"/>
        <family val="2"/>
        <scheme val="minor"/>
      </rPr>
      <t>c</t>
    </r>
    <r>
      <rPr>
        <vertAlign val="subscript"/>
        <sz val="12"/>
        <color theme="1"/>
        <rFont val="Calibri"/>
        <family val="2"/>
        <scheme val="minor"/>
      </rPr>
      <t>2</t>
    </r>
    <r>
      <rPr>
        <sz val="12"/>
        <color theme="1"/>
        <rFont val="Calibri"/>
        <family val="2"/>
        <scheme val="minor"/>
      </rPr>
      <t xml:space="preserve">' </t>
    </r>
    <r>
      <rPr>
        <sz val="12"/>
        <color theme="1"/>
        <rFont val="Symbol"/>
        <family val="2"/>
        <charset val="2"/>
      </rPr>
      <t xml:space="preserve">= </t>
    </r>
    <r>
      <rPr>
        <sz val="12"/>
        <color theme="1"/>
        <rFont val="Calibri"/>
        <family val="2"/>
        <scheme val="minor"/>
      </rPr>
      <t>c</t>
    </r>
    <r>
      <rPr>
        <vertAlign val="subscript"/>
        <sz val="12"/>
        <color theme="1"/>
        <rFont val="Calibri"/>
        <family val="2"/>
        <scheme val="minor"/>
      </rPr>
      <t>1</t>
    </r>
    <r>
      <rPr>
        <sz val="12"/>
        <color theme="1"/>
        <rFont val="Symbol"/>
        <family val="1"/>
        <charset val="2"/>
      </rPr>
      <t>(1+f</t>
    </r>
    <r>
      <rPr>
        <vertAlign val="subscript"/>
        <sz val="12"/>
        <color theme="1"/>
        <rFont val="Symbol"/>
        <family val="1"/>
        <charset val="2"/>
      </rPr>
      <t>1</t>
    </r>
    <r>
      <rPr>
        <vertAlign val="superscript"/>
        <sz val="12"/>
        <color theme="1"/>
        <rFont val="Symbol"/>
        <family val="1"/>
        <charset val="2"/>
      </rPr>
      <t>2</t>
    </r>
    <r>
      <rPr>
        <sz val="12"/>
        <color theme="1"/>
        <rFont val="Symbol"/>
        <family val="1"/>
        <charset val="2"/>
      </rPr>
      <t>+f</t>
    </r>
    <r>
      <rPr>
        <vertAlign val="subscript"/>
        <sz val="12"/>
        <color theme="1"/>
        <rFont val="Symbol"/>
        <family val="1"/>
        <charset val="2"/>
      </rPr>
      <t>2</t>
    </r>
    <r>
      <rPr>
        <vertAlign val="superscript"/>
        <sz val="12"/>
        <color theme="1"/>
        <rFont val="Symbol"/>
        <family val="1"/>
        <charset val="2"/>
      </rPr>
      <t>2</t>
    </r>
    <r>
      <rPr>
        <sz val="12"/>
        <color theme="1"/>
        <rFont val="Symbol"/>
        <family val="1"/>
        <charset val="2"/>
      </rPr>
      <t>) - [(f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2</t>
    </r>
    <r>
      <rPr>
        <sz val="12"/>
        <color theme="1"/>
        <rFont val="Symbol"/>
        <family val="1"/>
        <charset val="2"/>
      </rPr>
      <t>)(</t>
    </r>
    <r>
      <rPr>
        <sz val="12"/>
        <color theme="1"/>
        <rFont val="Calibri"/>
        <family val="2"/>
        <scheme val="minor"/>
      </rPr>
      <t>c</t>
    </r>
    <r>
      <rPr>
        <vertAlign val="subscript"/>
        <sz val="12"/>
        <color theme="1"/>
        <rFont val="Calibri"/>
        <family val="2"/>
        <scheme val="minor"/>
      </rPr>
      <t>3</t>
    </r>
    <r>
      <rPr>
        <sz val="12"/>
        <color theme="1"/>
        <rFont val="Calibri"/>
        <family val="2"/>
        <scheme val="minor"/>
      </rPr>
      <t>+c</t>
    </r>
    <r>
      <rPr>
        <vertAlign val="subscript"/>
        <sz val="12"/>
        <color theme="1"/>
        <rFont val="Calibri"/>
        <family val="2"/>
        <scheme val="minor"/>
      </rPr>
      <t>1</t>
    </r>
    <r>
      <rPr>
        <sz val="12"/>
        <color theme="1"/>
        <rFont val="Calibri"/>
        <family val="2"/>
        <scheme val="minor"/>
      </rPr>
      <t>)+(</t>
    </r>
    <r>
      <rPr>
        <sz val="12"/>
        <color theme="1"/>
        <rFont val="Symbol"/>
        <family val="1"/>
        <charset val="2"/>
      </rPr>
      <t>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2</t>
    </r>
    <r>
      <rPr>
        <sz val="12"/>
        <color theme="1"/>
        <rFont val="Calibri"/>
        <family val="2"/>
        <scheme val="minor"/>
      </rPr>
      <t>)(c</t>
    </r>
    <r>
      <rPr>
        <vertAlign val="subscript"/>
        <sz val="12"/>
        <color theme="1"/>
        <rFont val="Calibri"/>
        <family val="2"/>
        <scheme val="minor"/>
      </rPr>
      <t>4</t>
    </r>
    <r>
      <rPr>
        <sz val="12"/>
        <color theme="1"/>
        <rFont val="Calibri"/>
        <family val="2"/>
        <scheme val="minor"/>
      </rPr>
      <t>+c</t>
    </r>
    <r>
      <rPr>
        <vertAlign val="subscript"/>
        <sz val="12"/>
        <color theme="1"/>
        <rFont val="Calibri"/>
        <family val="2"/>
        <scheme val="minor"/>
      </rPr>
      <t>0</t>
    </r>
    <r>
      <rPr>
        <sz val="12"/>
        <color theme="1"/>
        <rFont val="Calibri"/>
        <family val="2"/>
        <scheme val="minor"/>
      </rPr>
      <t>)]</t>
    </r>
    <r>
      <rPr>
        <sz val="12"/>
        <color theme="1"/>
        <rFont val="Symbol"/>
        <family val="1"/>
        <charset val="2"/>
      </rPr>
      <t xml:space="preserve"> </t>
    </r>
  </si>
  <si>
    <r>
      <rPr>
        <sz val="12"/>
        <color theme="1"/>
        <rFont val="Calibri"/>
        <family val="2"/>
        <scheme val="minor"/>
      </rPr>
      <t>c</t>
    </r>
    <r>
      <rPr>
        <vertAlign val="subscript"/>
        <sz val="12"/>
        <color theme="1"/>
        <rFont val="Calibri"/>
        <family val="2"/>
        <scheme val="minor"/>
      </rPr>
      <t>o</t>
    </r>
    <r>
      <rPr>
        <sz val="12"/>
        <color theme="1"/>
        <rFont val="Calibri"/>
        <family val="2"/>
        <scheme val="minor"/>
      </rPr>
      <t xml:space="preserve">' </t>
    </r>
    <r>
      <rPr>
        <sz val="12"/>
        <color theme="1"/>
        <rFont val="Symbol"/>
        <family val="2"/>
        <charset val="2"/>
      </rPr>
      <t xml:space="preserve">= </t>
    </r>
    <r>
      <rPr>
        <sz val="12"/>
        <color theme="1"/>
        <rFont val="Calibri"/>
        <family val="2"/>
        <scheme val="minor"/>
      </rPr>
      <t>c</t>
    </r>
    <r>
      <rPr>
        <vertAlign val="subscript"/>
        <sz val="12"/>
        <color theme="1"/>
        <rFont val="Calibri"/>
        <family val="2"/>
        <scheme val="minor"/>
      </rPr>
      <t>0</t>
    </r>
    <r>
      <rPr>
        <sz val="12"/>
        <color theme="1"/>
        <rFont val="Symbol"/>
        <family val="1"/>
        <charset val="2"/>
      </rPr>
      <t>(1+f</t>
    </r>
    <r>
      <rPr>
        <vertAlign val="subscript"/>
        <sz val="12"/>
        <color theme="1"/>
        <rFont val="Symbol"/>
        <family val="1"/>
        <charset val="2"/>
      </rPr>
      <t>1</t>
    </r>
    <r>
      <rPr>
        <vertAlign val="superscript"/>
        <sz val="12"/>
        <color theme="1"/>
        <rFont val="Symbol"/>
        <family val="1"/>
        <charset val="2"/>
      </rPr>
      <t>2</t>
    </r>
    <r>
      <rPr>
        <sz val="12"/>
        <color theme="1"/>
        <rFont val="Symbol"/>
        <family val="1"/>
        <charset val="2"/>
      </rPr>
      <t>+f</t>
    </r>
    <r>
      <rPr>
        <vertAlign val="subscript"/>
        <sz val="12"/>
        <color theme="1"/>
        <rFont val="Symbol"/>
        <family val="1"/>
        <charset val="2"/>
      </rPr>
      <t>2</t>
    </r>
    <r>
      <rPr>
        <vertAlign val="superscript"/>
        <sz val="12"/>
        <color theme="1"/>
        <rFont val="Symbol"/>
        <family val="1"/>
        <charset val="2"/>
      </rPr>
      <t>2</t>
    </r>
    <r>
      <rPr>
        <sz val="12"/>
        <color theme="1"/>
        <rFont val="Symbol"/>
        <family val="1"/>
        <charset val="2"/>
      </rPr>
      <t>+f</t>
    </r>
    <r>
      <rPr>
        <vertAlign val="subscript"/>
        <sz val="12"/>
        <color theme="1"/>
        <rFont val="Symbol"/>
        <family val="1"/>
        <charset val="2"/>
      </rPr>
      <t>3</t>
    </r>
    <r>
      <rPr>
        <vertAlign val="superscript"/>
        <sz val="12"/>
        <color theme="1"/>
        <rFont val="Symbol"/>
        <family val="1"/>
        <charset val="2"/>
      </rPr>
      <t>2</t>
    </r>
    <r>
      <rPr>
        <sz val="12"/>
        <color theme="1"/>
        <rFont val="Symbol"/>
        <family val="1"/>
        <charset val="2"/>
      </rPr>
      <t>) - (f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2</t>
    </r>
    <r>
      <rPr>
        <sz val="12"/>
        <color theme="1"/>
        <rFont val="Symbol"/>
        <family val="1"/>
        <charset val="2"/>
      </rPr>
      <t>-f</t>
    </r>
    <r>
      <rPr>
        <vertAlign val="subscript"/>
        <sz val="12"/>
        <color theme="1"/>
        <rFont val="Symbol"/>
        <family val="1"/>
        <charset val="2"/>
      </rPr>
      <t>2</t>
    </r>
    <r>
      <rPr>
        <sz val="12"/>
        <color theme="1"/>
        <rFont val="Symbol"/>
        <family val="1"/>
        <charset val="2"/>
      </rPr>
      <t>f</t>
    </r>
    <r>
      <rPr>
        <vertAlign val="subscript"/>
        <sz val="12"/>
        <color theme="1"/>
        <rFont val="Symbol"/>
        <family val="1"/>
        <charset val="2"/>
      </rPr>
      <t>3</t>
    </r>
    <r>
      <rPr>
        <sz val="12"/>
        <color theme="1"/>
        <rFont val="Symbol"/>
        <family val="1"/>
        <charset val="2"/>
      </rPr>
      <t>)</t>
    </r>
    <r>
      <rPr>
        <sz val="12"/>
        <color theme="1"/>
        <rFont val="Calibri"/>
        <family val="2"/>
        <scheme val="minor"/>
      </rPr>
      <t>c</t>
    </r>
    <r>
      <rPr>
        <vertAlign val="subscript"/>
        <sz val="12"/>
        <color theme="1"/>
        <rFont val="Calibri"/>
        <family val="2"/>
        <scheme val="minor"/>
      </rPr>
      <t>1</t>
    </r>
    <r>
      <rPr>
        <sz val="12"/>
        <color theme="1"/>
        <rFont val="Symbol"/>
        <family val="1"/>
        <charset val="2"/>
      </rPr>
      <t xml:space="preserve"> </t>
    </r>
  </si>
  <si>
    <r>
      <rPr>
        <sz val="12"/>
        <color theme="1"/>
        <rFont val="Calibri"/>
        <family val="2"/>
        <scheme val="minor"/>
      </rPr>
      <t>c</t>
    </r>
    <r>
      <rPr>
        <vertAlign val="subscript"/>
        <sz val="12"/>
        <color theme="1"/>
        <rFont val="Calibri"/>
        <family val="2"/>
        <scheme val="minor"/>
      </rPr>
      <t>1</t>
    </r>
    <r>
      <rPr>
        <sz val="12"/>
        <color theme="1"/>
        <rFont val="Calibri"/>
        <family val="2"/>
        <scheme val="minor"/>
      </rPr>
      <t xml:space="preserve">' </t>
    </r>
    <r>
      <rPr>
        <sz val="12"/>
        <color theme="1"/>
        <rFont val="Symbol"/>
        <family val="2"/>
        <charset val="2"/>
      </rPr>
      <t xml:space="preserve">= </t>
    </r>
    <r>
      <rPr>
        <sz val="12"/>
        <color theme="1"/>
        <rFont val="Calibri"/>
        <family val="2"/>
        <scheme val="minor"/>
      </rPr>
      <t>c</t>
    </r>
    <r>
      <rPr>
        <vertAlign val="subscript"/>
        <sz val="12"/>
        <color theme="1"/>
        <rFont val="Calibri"/>
        <family val="2"/>
        <scheme val="minor"/>
      </rPr>
      <t>1</t>
    </r>
    <r>
      <rPr>
        <sz val="12"/>
        <color theme="1"/>
        <rFont val="Symbol"/>
        <family val="1"/>
        <charset val="2"/>
      </rPr>
      <t>(1+f</t>
    </r>
    <r>
      <rPr>
        <vertAlign val="subscript"/>
        <sz val="12"/>
        <color theme="1"/>
        <rFont val="Symbol"/>
        <family val="1"/>
        <charset val="2"/>
      </rPr>
      <t>1</t>
    </r>
    <r>
      <rPr>
        <vertAlign val="superscript"/>
        <sz val="12"/>
        <color theme="1"/>
        <rFont val="Symbol"/>
        <family val="1"/>
        <charset val="2"/>
      </rPr>
      <t>2</t>
    </r>
    <r>
      <rPr>
        <sz val="12"/>
        <color theme="1"/>
        <rFont val="Symbol"/>
        <family val="1"/>
        <charset val="2"/>
      </rPr>
      <t>+f</t>
    </r>
    <r>
      <rPr>
        <vertAlign val="subscript"/>
        <sz val="12"/>
        <color theme="1"/>
        <rFont val="Symbol"/>
        <family val="1"/>
        <charset val="2"/>
      </rPr>
      <t>2</t>
    </r>
    <r>
      <rPr>
        <vertAlign val="superscript"/>
        <sz val="12"/>
        <color theme="1"/>
        <rFont val="Symbol"/>
        <family val="1"/>
        <charset val="2"/>
      </rPr>
      <t>2</t>
    </r>
    <r>
      <rPr>
        <sz val="12"/>
        <color theme="1"/>
        <rFont val="Symbol"/>
        <family val="1"/>
        <charset val="2"/>
      </rPr>
      <t>+f</t>
    </r>
    <r>
      <rPr>
        <vertAlign val="subscript"/>
        <sz val="12"/>
        <color theme="1"/>
        <rFont val="Symbol"/>
        <family val="1"/>
        <charset val="2"/>
      </rPr>
      <t>3</t>
    </r>
    <r>
      <rPr>
        <vertAlign val="superscript"/>
        <sz val="12"/>
        <color theme="1"/>
        <rFont val="Symbol"/>
        <family val="1"/>
        <charset val="2"/>
      </rPr>
      <t>2</t>
    </r>
    <r>
      <rPr>
        <sz val="12"/>
        <color theme="1"/>
        <rFont val="Symbol"/>
        <family val="1"/>
        <charset val="2"/>
      </rPr>
      <t>) - (f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2</t>
    </r>
    <r>
      <rPr>
        <sz val="12"/>
        <color theme="1"/>
        <rFont val="Symbol"/>
        <family val="1"/>
        <charset val="2"/>
      </rPr>
      <t>-f</t>
    </r>
    <r>
      <rPr>
        <vertAlign val="subscript"/>
        <sz val="12"/>
        <color theme="1"/>
        <rFont val="Symbol"/>
        <family val="1"/>
        <charset val="2"/>
      </rPr>
      <t>2</t>
    </r>
    <r>
      <rPr>
        <sz val="12"/>
        <color theme="1"/>
        <rFont val="Symbol"/>
        <family val="1"/>
        <charset val="2"/>
      </rPr>
      <t>f</t>
    </r>
    <r>
      <rPr>
        <vertAlign val="subscript"/>
        <sz val="12"/>
        <color theme="1"/>
        <rFont val="Symbol"/>
        <family val="1"/>
        <charset val="2"/>
      </rPr>
      <t>3</t>
    </r>
    <r>
      <rPr>
        <sz val="12"/>
        <color theme="1"/>
        <rFont val="Symbol"/>
        <family val="1"/>
        <charset val="2"/>
      </rPr>
      <t>)(</t>
    </r>
    <r>
      <rPr>
        <sz val="12"/>
        <color theme="1"/>
        <rFont val="Calibri"/>
        <family val="2"/>
        <scheme val="minor"/>
      </rPr>
      <t>c</t>
    </r>
    <r>
      <rPr>
        <vertAlign val="subscript"/>
        <sz val="12"/>
        <color theme="1"/>
        <rFont val="Calibri"/>
        <family val="2"/>
        <scheme val="minor"/>
      </rPr>
      <t>2</t>
    </r>
    <r>
      <rPr>
        <sz val="12"/>
        <color theme="1"/>
        <rFont val="Calibri"/>
        <family val="2"/>
        <scheme val="minor"/>
      </rPr>
      <t>+c</t>
    </r>
    <r>
      <rPr>
        <vertAlign val="subscript"/>
        <sz val="12"/>
        <color theme="1"/>
        <rFont val="Calibri"/>
        <family val="2"/>
        <scheme val="minor"/>
      </rPr>
      <t>0</t>
    </r>
    <r>
      <rPr>
        <sz val="12"/>
        <color theme="1"/>
        <rFont val="Calibri"/>
        <family val="2"/>
        <scheme val="minor"/>
      </rPr>
      <t>)</t>
    </r>
    <r>
      <rPr>
        <sz val="12"/>
        <color theme="1"/>
        <rFont val="Symbol"/>
        <family val="1"/>
        <charset val="2"/>
      </rPr>
      <t xml:space="preserve"> </t>
    </r>
  </si>
  <si>
    <r>
      <rPr>
        <sz val="12"/>
        <color theme="1"/>
        <rFont val="Calibri"/>
        <family val="2"/>
        <scheme val="minor"/>
      </rPr>
      <t>c</t>
    </r>
    <r>
      <rPr>
        <vertAlign val="subscript"/>
        <sz val="12"/>
        <color theme="1"/>
        <rFont val="Calibri"/>
        <family val="2"/>
        <scheme val="minor"/>
      </rPr>
      <t>2</t>
    </r>
    <r>
      <rPr>
        <sz val="12"/>
        <color theme="1"/>
        <rFont val="Calibri"/>
        <family val="2"/>
        <scheme val="minor"/>
      </rPr>
      <t xml:space="preserve">' </t>
    </r>
    <r>
      <rPr>
        <sz val="12"/>
        <color theme="1"/>
        <rFont val="Symbol"/>
        <family val="2"/>
        <charset val="2"/>
      </rPr>
      <t xml:space="preserve">= </t>
    </r>
    <r>
      <rPr>
        <sz val="12"/>
        <color theme="1"/>
        <rFont val="Calibri"/>
        <family val="2"/>
        <scheme val="minor"/>
      </rPr>
      <t>c</t>
    </r>
    <r>
      <rPr>
        <vertAlign val="subscript"/>
        <sz val="12"/>
        <color theme="1"/>
        <rFont val="Calibri"/>
        <family val="2"/>
        <scheme val="minor"/>
      </rPr>
      <t>2</t>
    </r>
    <r>
      <rPr>
        <sz val="12"/>
        <color theme="1"/>
        <rFont val="Symbol"/>
        <family val="1"/>
        <charset val="2"/>
      </rPr>
      <t>(1+f</t>
    </r>
    <r>
      <rPr>
        <vertAlign val="subscript"/>
        <sz val="12"/>
        <color theme="1"/>
        <rFont val="Symbol"/>
        <family val="1"/>
        <charset val="2"/>
      </rPr>
      <t>1</t>
    </r>
    <r>
      <rPr>
        <vertAlign val="superscript"/>
        <sz val="12"/>
        <color theme="1"/>
        <rFont val="Symbol"/>
        <family val="1"/>
        <charset val="2"/>
      </rPr>
      <t>2</t>
    </r>
    <r>
      <rPr>
        <sz val="12"/>
        <color theme="1"/>
        <rFont val="Symbol"/>
        <family val="1"/>
        <charset val="2"/>
      </rPr>
      <t>+f</t>
    </r>
    <r>
      <rPr>
        <vertAlign val="subscript"/>
        <sz val="12"/>
        <color theme="1"/>
        <rFont val="Symbol"/>
        <family val="1"/>
        <charset val="2"/>
      </rPr>
      <t>2</t>
    </r>
    <r>
      <rPr>
        <vertAlign val="superscript"/>
        <sz val="12"/>
        <color theme="1"/>
        <rFont val="Symbol"/>
        <family val="1"/>
        <charset val="2"/>
      </rPr>
      <t>2</t>
    </r>
    <r>
      <rPr>
        <sz val="12"/>
        <color theme="1"/>
        <rFont val="Symbol"/>
        <family val="1"/>
        <charset val="2"/>
      </rPr>
      <t>+f</t>
    </r>
    <r>
      <rPr>
        <vertAlign val="subscript"/>
        <sz val="12"/>
        <color theme="1"/>
        <rFont val="Symbol"/>
        <family val="1"/>
        <charset val="2"/>
      </rPr>
      <t>3</t>
    </r>
    <r>
      <rPr>
        <vertAlign val="superscript"/>
        <sz val="12"/>
        <color theme="1"/>
        <rFont val="Symbol"/>
        <family val="1"/>
        <charset val="2"/>
      </rPr>
      <t>2</t>
    </r>
    <r>
      <rPr>
        <sz val="12"/>
        <color theme="1"/>
        <rFont val="Symbol"/>
        <family val="1"/>
        <charset val="2"/>
      </rPr>
      <t>) - [(f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2</t>
    </r>
    <r>
      <rPr>
        <sz val="12"/>
        <color theme="1"/>
        <rFont val="Symbol"/>
        <family val="1"/>
        <charset val="2"/>
      </rPr>
      <t>-f</t>
    </r>
    <r>
      <rPr>
        <vertAlign val="subscript"/>
        <sz val="12"/>
        <color theme="1"/>
        <rFont val="Symbol"/>
        <family val="1"/>
        <charset val="2"/>
      </rPr>
      <t>2</t>
    </r>
    <r>
      <rPr>
        <sz val="12"/>
        <color theme="1"/>
        <rFont val="Symbol"/>
        <family val="1"/>
        <charset val="2"/>
      </rPr>
      <t>f</t>
    </r>
    <r>
      <rPr>
        <vertAlign val="subscript"/>
        <sz val="12"/>
        <color theme="1"/>
        <rFont val="Symbol"/>
        <family val="1"/>
        <charset val="2"/>
      </rPr>
      <t>3</t>
    </r>
    <r>
      <rPr>
        <sz val="12"/>
        <color theme="1"/>
        <rFont val="Symbol"/>
        <family val="1"/>
        <charset val="2"/>
      </rPr>
      <t>)(</t>
    </r>
    <r>
      <rPr>
        <sz val="12"/>
        <color theme="1"/>
        <rFont val="Calibri"/>
        <family val="2"/>
        <scheme val="minor"/>
      </rPr>
      <t>c</t>
    </r>
    <r>
      <rPr>
        <vertAlign val="subscript"/>
        <sz val="12"/>
        <color theme="1"/>
        <rFont val="Calibri"/>
        <family val="2"/>
        <scheme val="minor"/>
      </rPr>
      <t>3</t>
    </r>
    <r>
      <rPr>
        <sz val="12"/>
        <color theme="1"/>
        <rFont val="Calibri"/>
        <family val="2"/>
        <scheme val="minor"/>
      </rPr>
      <t>+c</t>
    </r>
    <r>
      <rPr>
        <vertAlign val="subscript"/>
        <sz val="12"/>
        <color theme="1"/>
        <rFont val="Calibri"/>
        <family val="2"/>
        <scheme val="minor"/>
      </rPr>
      <t>1</t>
    </r>
    <r>
      <rPr>
        <sz val="12"/>
        <color theme="1"/>
        <rFont val="Calibri"/>
        <family val="2"/>
        <scheme val="minor"/>
      </rPr>
      <t>)</t>
    </r>
    <r>
      <rPr>
        <sz val="12"/>
        <color theme="1"/>
        <rFont val="Symbol"/>
        <family val="1"/>
        <charset val="2"/>
      </rPr>
      <t xml:space="preserve"> + (f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2</t>
    </r>
    <r>
      <rPr>
        <sz val="12"/>
        <color theme="1"/>
        <rFont val="Symbol"/>
        <family val="1"/>
        <charset val="2"/>
      </rPr>
      <t>-f</t>
    </r>
    <r>
      <rPr>
        <vertAlign val="subscript"/>
        <sz val="12"/>
        <color theme="1"/>
        <rFont val="Symbol"/>
        <family val="1"/>
        <charset val="2"/>
      </rPr>
      <t>2</t>
    </r>
    <r>
      <rPr>
        <sz val="12"/>
        <color theme="1"/>
        <rFont val="Symbol"/>
        <family val="1"/>
        <charset val="2"/>
      </rPr>
      <t>f</t>
    </r>
    <r>
      <rPr>
        <vertAlign val="subscript"/>
        <sz val="12"/>
        <color theme="1"/>
        <rFont val="Symbol"/>
        <family val="1"/>
        <charset val="2"/>
      </rPr>
      <t>3</t>
    </r>
    <r>
      <rPr>
        <sz val="12"/>
        <color theme="1"/>
        <rFont val="Symbol"/>
        <family val="1"/>
        <charset val="2"/>
      </rPr>
      <t>)(</t>
    </r>
    <r>
      <rPr>
        <sz val="12"/>
        <color theme="1"/>
        <rFont val="Calibri"/>
        <family val="2"/>
        <scheme val="minor"/>
      </rPr>
      <t>c</t>
    </r>
    <r>
      <rPr>
        <vertAlign val="subscript"/>
        <sz val="12"/>
        <color theme="1"/>
        <rFont val="Calibri"/>
        <family val="2"/>
        <scheme val="minor"/>
      </rPr>
      <t>4</t>
    </r>
    <r>
      <rPr>
        <sz val="12"/>
        <color theme="1"/>
        <rFont val="Calibri"/>
        <family val="2"/>
        <scheme val="minor"/>
      </rPr>
      <t>+c</t>
    </r>
    <r>
      <rPr>
        <vertAlign val="subscript"/>
        <sz val="12"/>
        <color theme="1"/>
        <rFont val="Calibri"/>
        <family val="2"/>
        <scheme val="minor"/>
      </rPr>
      <t>0</t>
    </r>
    <r>
      <rPr>
        <sz val="12"/>
        <color theme="1"/>
        <rFont val="Symbol"/>
        <family val="1"/>
        <charset val="2"/>
      </rPr>
      <t xml:space="preserve">)] </t>
    </r>
  </si>
  <si>
    <r>
      <rPr>
        <sz val="12"/>
        <color theme="1"/>
        <rFont val="Calibri"/>
        <family val="2"/>
        <scheme val="minor"/>
      </rPr>
      <t>c</t>
    </r>
    <r>
      <rPr>
        <vertAlign val="subscript"/>
        <sz val="12"/>
        <color theme="1"/>
        <rFont val="Calibri"/>
        <family val="2"/>
        <scheme val="minor"/>
      </rPr>
      <t>3</t>
    </r>
    <r>
      <rPr>
        <sz val="12"/>
        <color theme="1"/>
        <rFont val="Calibri"/>
        <family val="2"/>
        <scheme val="minor"/>
      </rPr>
      <t xml:space="preserve">' </t>
    </r>
    <r>
      <rPr>
        <sz val="12"/>
        <color theme="1"/>
        <rFont val="Symbol"/>
        <family val="2"/>
        <charset val="2"/>
      </rPr>
      <t xml:space="preserve">= </t>
    </r>
    <r>
      <rPr>
        <sz val="12"/>
        <color theme="1"/>
        <rFont val="Calibri"/>
        <family val="2"/>
        <scheme val="minor"/>
      </rPr>
      <t>c</t>
    </r>
    <r>
      <rPr>
        <vertAlign val="subscript"/>
        <sz val="12"/>
        <color theme="1"/>
        <rFont val="Calibri"/>
        <family val="2"/>
        <scheme val="minor"/>
      </rPr>
      <t>3</t>
    </r>
    <r>
      <rPr>
        <sz val="12"/>
        <color theme="1"/>
        <rFont val="Symbol"/>
        <family val="1"/>
        <charset val="2"/>
      </rPr>
      <t>(1+f</t>
    </r>
    <r>
      <rPr>
        <vertAlign val="subscript"/>
        <sz val="12"/>
        <color theme="1"/>
        <rFont val="Symbol"/>
        <family val="1"/>
        <charset val="2"/>
      </rPr>
      <t>1</t>
    </r>
    <r>
      <rPr>
        <vertAlign val="superscript"/>
        <sz val="12"/>
        <color theme="1"/>
        <rFont val="Symbol"/>
        <family val="1"/>
        <charset val="2"/>
      </rPr>
      <t>2</t>
    </r>
    <r>
      <rPr>
        <sz val="12"/>
        <color theme="1"/>
        <rFont val="Symbol"/>
        <family val="1"/>
        <charset val="2"/>
      </rPr>
      <t>+f</t>
    </r>
    <r>
      <rPr>
        <vertAlign val="subscript"/>
        <sz val="12"/>
        <color theme="1"/>
        <rFont val="Symbol"/>
        <family val="1"/>
        <charset val="2"/>
      </rPr>
      <t>2</t>
    </r>
    <r>
      <rPr>
        <vertAlign val="superscript"/>
        <sz val="12"/>
        <color theme="1"/>
        <rFont val="Symbol"/>
        <family val="1"/>
        <charset val="2"/>
      </rPr>
      <t>2</t>
    </r>
    <r>
      <rPr>
        <sz val="12"/>
        <color theme="1"/>
        <rFont val="Symbol"/>
        <family val="1"/>
        <charset val="2"/>
      </rPr>
      <t>+f</t>
    </r>
    <r>
      <rPr>
        <vertAlign val="subscript"/>
        <sz val="12"/>
        <color theme="1"/>
        <rFont val="Symbol"/>
        <family val="1"/>
        <charset val="2"/>
      </rPr>
      <t>3</t>
    </r>
    <r>
      <rPr>
        <vertAlign val="superscript"/>
        <sz val="12"/>
        <color theme="1"/>
        <rFont val="Symbol"/>
        <family val="1"/>
        <charset val="2"/>
      </rPr>
      <t>2</t>
    </r>
    <r>
      <rPr>
        <sz val="12"/>
        <color theme="1"/>
        <rFont val="Symbol"/>
        <family val="1"/>
        <charset val="2"/>
      </rPr>
      <t>) - [(f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2</t>
    </r>
    <r>
      <rPr>
        <sz val="12"/>
        <color theme="1"/>
        <rFont val="Symbol"/>
        <family val="1"/>
        <charset val="2"/>
      </rPr>
      <t>-f</t>
    </r>
    <r>
      <rPr>
        <vertAlign val="subscript"/>
        <sz val="12"/>
        <color theme="1"/>
        <rFont val="Symbol"/>
        <family val="1"/>
        <charset val="2"/>
      </rPr>
      <t>2</t>
    </r>
    <r>
      <rPr>
        <sz val="12"/>
        <color theme="1"/>
        <rFont val="Symbol"/>
        <family val="1"/>
        <charset val="2"/>
      </rPr>
      <t>f</t>
    </r>
    <r>
      <rPr>
        <vertAlign val="subscript"/>
        <sz val="12"/>
        <color theme="1"/>
        <rFont val="Symbol"/>
        <family val="1"/>
        <charset val="2"/>
      </rPr>
      <t>3</t>
    </r>
    <r>
      <rPr>
        <sz val="12"/>
        <color theme="1"/>
        <rFont val="Symbol"/>
        <family val="1"/>
        <charset val="2"/>
      </rPr>
      <t>)(</t>
    </r>
    <r>
      <rPr>
        <sz val="12"/>
        <color theme="1"/>
        <rFont val="Calibri"/>
        <family val="2"/>
        <scheme val="minor"/>
      </rPr>
      <t>c</t>
    </r>
    <r>
      <rPr>
        <vertAlign val="subscript"/>
        <sz val="12"/>
        <color theme="1"/>
        <rFont val="Calibri"/>
        <family val="2"/>
        <scheme val="minor"/>
      </rPr>
      <t>4</t>
    </r>
    <r>
      <rPr>
        <sz val="12"/>
        <color theme="1"/>
        <rFont val="Calibri"/>
        <family val="2"/>
        <scheme val="minor"/>
      </rPr>
      <t>+c</t>
    </r>
    <r>
      <rPr>
        <vertAlign val="subscript"/>
        <sz val="12"/>
        <color theme="1"/>
        <rFont val="Calibri"/>
        <family val="2"/>
        <scheme val="minor"/>
      </rPr>
      <t>2</t>
    </r>
    <r>
      <rPr>
        <sz val="12"/>
        <color theme="1"/>
        <rFont val="Calibri"/>
        <family val="2"/>
        <scheme val="minor"/>
      </rPr>
      <t>)</t>
    </r>
    <r>
      <rPr>
        <sz val="12"/>
        <color theme="1"/>
        <rFont val="Symbol"/>
        <family val="1"/>
        <charset val="2"/>
      </rPr>
      <t xml:space="preserve"> + (f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2</t>
    </r>
    <r>
      <rPr>
        <sz val="12"/>
        <color theme="1"/>
        <rFont val="Symbol"/>
        <family val="1"/>
        <charset val="2"/>
      </rPr>
      <t>-f</t>
    </r>
    <r>
      <rPr>
        <vertAlign val="subscript"/>
        <sz val="12"/>
        <color theme="1"/>
        <rFont val="Symbol"/>
        <family val="1"/>
        <charset val="2"/>
      </rPr>
      <t>2</t>
    </r>
    <r>
      <rPr>
        <sz val="12"/>
        <color theme="1"/>
        <rFont val="Symbol"/>
        <family val="1"/>
        <charset val="2"/>
      </rPr>
      <t>f</t>
    </r>
    <r>
      <rPr>
        <vertAlign val="subscript"/>
        <sz val="12"/>
        <color theme="1"/>
        <rFont val="Symbol"/>
        <family val="1"/>
        <charset val="2"/>
      </rPr>
      <t>3</t>
    </r>
    <r>
      <rPr>
        <sz val="12"/>
        <color theme="1"/>
        <rFont val="Symbol"/>
        <family val="1"/>
        <charset val="2"/>
      </rPr>
      <t>)(</t>
    </r>
    <r>
      <rPr>
        <sz val="12"/>
        <color theme="1"/>
        <rFont val="Calibri"/>
        <family val="2"/>
        <scheme val="minor"/>
      </rPr>
      <t>c</t>
    </r>
    <r>
      <rPr>
        <vertAlign val="subscript"/>
        <sz val="12"/>
        <color theme="1"/>
        <rFont val="Calibri"/>
        <family val="2"/>
        <scheme val="minor"/>
      </rPr>
      <t>3</t>
    </r>
    <r>
      <rPr>
        <sz val="12"/>
        <color theme="1"/>
        <rFont val="Calibri"/>
        <family val="2"/>
        <scheme val="minor"/>
      </rPr>
      <t>+c</t>
    </r>
    <r>
      <rPr>
        <vertAlign val="subscript"/>
        <sz val="12"/>
        <color theme="1"/>
        <rFont val="Calibri"/>
        <family val="2"/>
        <scheme val="minor"/>
      </rPr>
      <t>0</t>
    </r>
    <r>
      <rPr>
        <sz val="12"/>
        <color theme="1"/>
        <rFont val="Symbol"/>
        <family val="1"/>
        <charset val="2"/>
      </rPr>
      <t xml:space="preserve">)] </t>
    </r>
  </si>
  <si>
    <r>
      <t>s</t>
    </r>
    <r>
      <rPr>
        <vertAlign val="subscript"/>
        <sz val="11"/>
        <color theme="1"/>
        <rFont val="Calibri"/>
        <family val="2"/>
        <scheme val="minor"/>
      </rPr>
      <t>a</t>
    </r>
    <r>
      <rPr>
        <vertAlign val="superscript"/>
        <sz val="11"/>
        <color theme="1"/>
        <rFont val="Calibri"/>
        <family val="2"/>
        <scheme val="minor"/>
      </rPr>
      <t>2</t>
    </r>
    <r>
      <rPr>
        <sz val="11"/>
        <color theme="1"/>
        <rFont val="Calibri"/>
        <family val="2"/>
        <scheme val="minor"/>
      </rPr>
      <t>(1+</t>
    </r>
    <r>
      <rPr>
        <sz val="11"/>
        <color theme="1"/>
        <rFont val="Symbol"/>
        <family val="1"/>
        <charset val="2"/>
      </rPr>
      <t>q</t>
    </r>
    <r>
      <rPr>
        <vertAlign val="subscript"/>
        <sz val="11"/>
        <color theme="1"/>
        <rFont val="Symbol"/>
        <family val="1"/>
        <charset val="2"/>
      </rPr>
      <t>1</t>
    </r>
    <r>
      <rPr>
        <vertAlign val="superscript"/>
        <sz val="11"/>
        <color theme="1"/>
        <rFont val="Symbol"/>
        <family val="1"/>
        <charset val="2"/>
      </rPr>
      <t>2</t>
    </r>
    <r>
      <rPr>
        <sz val="11"/>
        <color theme="1"/>
        <rFont val="Symbol"/>
        <family val="1"/>
        <charset val="2"/>
      </rPr>
      <t>)-</t>
    </r>
    <r>
      <rPr>
        <sz val="11"/>
        <color theme="1"/>
        <rFont val="Calibri"/>
        <family val="2"/>
        <scheme val="minor"/>
      </rPr>
      <t>c</t>
    </r>
    <r>
      <rPr>
        <vertAlign val="subscript"/>
        <sz val="11"/>
        <color theme="1"/>
        <rFont val="Calibri"/>
        <family val="2"/>
        <scheme val="minor"/>
      </rPr>
      <t>0</t>
    </r>
    <r>
      <rPr>
        <sz val="11"/>
        <color theme="1"/>
        <rFont val="Calibri"/>
        <family val="2"/>
        <scheme val="minor"/>
      </rPr>
      <t>'=0</t>
    </r>
  </si>
  <si>
    <r>
      <t>q</t>
    </r>
    <r>
      <rPr>
        <vertAlign val="subscript"/>
        <sz val="11"/>
        <color theme="1"/>
        <rFont val="Symbol"/>
        <family val="1"/>
        <charset val="2"/>
      </rPr>
      <t>1</t>
    </r>
    <r>
      <rPr>
        <vertAlign val="superscript"/>
        <sz val="11"/>
        <color theme="1"/>
        <rFont val="Symbol"/>
        <family val="1"/>
        <charset val="2"/>
      </rPr>
      <t>2</t>
    </r>
    <r>
      <rPr>
        <sz val="11"/>
        <color theme="1"/>
        <rFont val="Symbol"/>
        <family val="1"/>
        <charset val="2"/>
      </rPr>
      <t>s</t>
    </r>
    <r>
      <rPr>
        <vertAlign val="subscript"/>
        <sz val="11"/>
        <color theme="1"/>
        <rFont val="Calibri"/>
        <family val="2"/>
        <scheme val="minor"/>
      </rPr>
      <t>a</t>
    </r>
    <r>
      <rPr>
        <vertAlign val="superscript"/>
        <sz val="11"/>
        <color theme="1"/>
        <rFont val="Calibri"/>
        <family val="2"/>
        <scheme val="minor"/>
      </rPr>
      <t>2</t>
    </r>
    <r>
      <rPr>
        <sz val="11"/>
        <color theme="1"/>
        <rFont val="Calibri"/>
        <family val="2"/>
        <scheme val="minor"/>
      </rPr>
      <t>+</t>
    </r>
    <r>
      <rPr>
        <sz val="11"/>
        <color theme="1"/>
        <rFont val="Calibri"/>
        <family val="2"/>
        <scheme val="minor"/>
      </rPr>
      <t>c</t>
    </r>
    <r>
      <rPr>
        <vertAlign val="subscript"/>
        <sz val="11"/>
        <color theme="1"/>
        <rFont val="Calibri"/>
        <family val="2"/>
        <scheme val="minor"/>
      </rPr>
      <t>0</t>
    </r>
    <r>
      <rPr>
        <sz val="11"/>
        <color theme="1"/>
        <rFont val="Calibri"/>
        <family val="2"/>
        <scheme val="minor"/>
      </rPr>
      <t>'=0</t>
    </r>
  </si>
  <si>
    <r>
      <t>s</t>
    </r>
    <r>
      <rPr>
        <vertAlign val="subscript"/>
        <sz val="11"/>
        <color theme="1"/>
        <rFont val="Calibri"/>
        <family val="2"/>
        <scheme val="minor"/>
      </rPr>
      <t>a</t>
    </r>
    <r>
      <rPr>
        <vertAlign val="superscript"/>
        <sz val="11"/>
        <color theme="1"/>
        <rFont val="Calibri"/>
        <family val="2"/>
        <scheme val="minor"/>
      </rPr>
      <t>2</t>
    </r>
    <r>
      <rPr>
        <sz val="11"/>
        <color theme="1"/>
        <rFont val="Calibri"/>
        <family val="2"/>
        <scheme val="minor"/>
      </rPr>
      <t>(1+</t>
    </r>
    <r>
      <rPr>
        <sz val="11"/>
        <color theme="1"/>
        <rFont val="Symbol"/>
        <family val="1"/>
        <charset val="2"/>
      </rPr>
      <t>q</t>
    </r>
    <r>
      <rPr>
        <vertAlign val="subscript"/>
        <sz val="11"/>
        <color theme="1"/>
        <rFont val="Symbol"/>
        <family val="1"/>
        <charset val="2"/>
      </rPr>
      <t>1</t>
    </r>
    <r>
      <rPr>
        <vertAlign val="superscript"/>
        <sz val="11"/>
        <color theme="1"/>
        <rFont val="Symbol"/>
        <family val="1"/>
        <charset val="2"/>
      </rPr>
      <t>2</t>
    </r>
    <r>
      <rPr>
        <sz val="11"/>
        <color theme="1"/>
        <rFont val="Symbol"/>
        <family val="1"/>
        <charset val="2"/>
      </rPr>
      <t>+q</t>
    </r>
    <r>
      <rPr>
        <vertAlign val="subscript"/>
        <sz val="11"/>
        <color theme="1"/>
        <rFont val="Symbol"/>
        <family val="1"/>
        <charset val="2"/>
      </rPr>
      <t>2</t>
    </r>
    <r>
      <rPr>
        <vertAlign val="superscript"/>
        <sz val="11"/>
        <color theme="1"/>
        <rFont val="Symbol"/>
        <family val="1"/>
        <charset val="2"/>
      </rPr>
      <t>2</t>
    </r>
    <r>
      <rPr>
        <sz val="11"/>
        <color theme="1"/>
        <rFont val="Symbol"/>
        <family val="1"/>
        <charset val="2"/>
      </rPr>
      <t>)-</t>
    </r>
    <r>
      <rPr>
        <sz val="11"/>
        <color theme="1"/>
        <rFont val="Calibri"/>
        <family val="2"/>
        <scheme val="minor"/>
      </rPr>
      <t>c</t>
    </r>
    <r>
      <rPr>
        <vertAlign val="subscript"/>
        <sz val="11"/>
        <color theme="1"/>
        <rFont val="Calibri"/>
        <family val="2"/>
        <scheme val="minor"/>
      </rPr>
      <t>0</t>
    </r>
    <r>
      <rPr>
        <sz val="11"/>
        <color theme="1"/>
        <rFont val="Calibri"/>
        <family val="2"/>
        <scheme val="minor"/>
      </rPr>
      <t>'=0</t>
    </r>
  </si>
  <si>
    <r>
      <t>q</t>
    </r>
    <r>
      <rPr>
        <vertAlign val="subscript"/>
        <sz val="11"/>
        <color theme="1"/>
        <rFont val="Symbol"/>
        <family val="1"/>
        <charset val="2"/>
      </rPr>
      <t>1</t>
    </r>
    <r>
      <rPr>
        <sz val="11"/>
        <color theme="1"/>
        <rFont val="Symbol"/>
        <family val="1"/>
        <charset val="2"/>
      </rPr>
      <t>-q</t>
    </r>
    <r>
      <rPr>
        <vertAlign val="subscript"/>
        <sz val="11"/>
        <color theme="1"/>
        <rFont val="Symbol"/>
        <family val="1"/>
        <charset val="2"/>
      </rPr>
      <t>1</t>
    </r>
    <r>
      <rPr>
        <sz val="11"/>
        <color theme="1"/>
        <rFont val="Symbol"/>
        <family val="1"/>
        <charset val="2"/>
      </rPr>
      <t>q</t>
    </r>
    <r>
      <rPr>
        <vertAlign val="subscript"/>
        <sz val="11"/>
        <color theme="1"/>
        <rFont val="Symbol"/>
        <family val="1"/>
        <charset val="2"/>
      </rPr>
      <t>2</t>
    </r>
    <r>
      <rPr>
        <sz val="11"/>
        <color theme="1"/>
        <rFont val="Symbol"/>
        <family val="1"/>
        <charset val="2"/>
      </rPr>
      <t>+</t>
    </r>
    <r>
      <rPr>
        <sz val="11"/>
        <color theme="1"/>
        <rFont val="Calibri"/>
        <family val="2"/>
        <scheme val="minor"/>
      </rPr>
      <t>c</t>
    </r>
    <r>
      <rPr>
        <vertAlign val="subscript"/>
        <sz val="11"/>
        <color theme="1"/>
        <rFont val="Symbol"/>
        <family val="1"/>
        <charset val="2"/>
      </rPr>
      <t>1</t>
    </r>
    <r>
      <rPr>
        <sz val="11"/>
        <color theme="1"/>
        <rFont val="Calibri"/>
        <family val="2"/>
        <scheme val="minor"/>
      </rPr>
      <t>'</t>
    </r>
    <r>
      <rPr>
        <sz val="11"/>
        <color theme="1"/>
        <rFont val="Symbol"/>
        <family val="1"/>
        <charset val="2"/>
      </rPr>
      <t>/s</t>
    </r>
    <r>
      <rPr>
        <vertAlign val="subscript"/>
        <sz val="11"/>
        <color theme="1"/>
        <rFont val="Calibri"/>
        <family val="2"/>
        <scheme val="minor"/>
      </rPr>
      <t>a</t>
    </r>
    <r>
      <rPr>
        <vertAlign val="superscript"/>
        <sz val="11"/>
        <color theme="1"/>
        <rFont val="Calibri"/>
        <family val="2"/>
        <scheme val="minor"/>
      </rPr>
      <t>2</t>
    </r>
    <r>
      <rPr>
        <sz val="11"/>
        <color theme="1"/>
        <rFont val="Calibri"/>
        <family val="2"/>
        <scheme val="minor"/>
      </rPr>
      <t>=0</t>
    </r>
  </si>
  <si>
    <r>
      <t>q</t>
    </r>
    <r>
      <rPr>
        <vertAlign val="subscript"/>
        <sz val="11"/>
        <color theme="1"/>
        <rFont val="Symbol"/>
        <family val="1"/>
        <charset val="2"/>
      </rPr>
      <t>2</t>
    </r>
    <r>
      <rPr>
        <vertAlign val="superscript"/>
        <sz val="11"/>
        <color theme="1"/>
        <rFont val="Symbol"/>
        <family val="1"/>
        <charset val="2"/>
      </rPr>
      <t>2</t>
    </r>
    <r>
      <rPr>
        <sz val="11"/>
        <color theme="1"/>
        <rFont val="Symbol"/>
        <family val="1"/>
        <charset val="2"/>
      </rPr>
      <t>s</t>
    </r>
    <r>
      <rPr>
        <vertAlign val="subscript"/>
        <sz val="11"/>
        <color theme="1"/>
        <rFont val="Calibri"/>
        <family val="2"/>
        <scheme val="minor"/>
      </rPr>
      <t>a</t>
    </r>
    <r>
      <rPr>
        <vertAlign val="superscript"/>
        <sz val="11"/>
        <color theme="1"/>
        <rFont val="Calibri"/>
        <family val="2"/>
        <scheme val="minor"/>
      </rPr>
      <t>2</t>
    </r>
    <r>
      <rPr>
        <sz val="11"/>
        <color theme="1"/>
        <rFont val="Calibri"/>
        <family val="2"/>
        <scheme val="minor"/>
      </rPr>
      <t>+c</t>
    </r>
    <r>
      <rPr>
        <vertAlign val="subscript"/>
        <sz val="11"/>
        <color theme="1"/>
        <rFont val="Calibri"/>
        <family val="2"/>
        <scheme val="minor"/>
      </rPr>
      <t>2</t>
    </r>
    <r>
      <rPr>
        <sz val="11"/>
        <color theme="1"/>
        <rFont val="Calibri"/>
        <family val="2"/>
        <scheme val="minor"/>
      </rPr>
      <t>'=0</t>
    </r>
  </si>
  <si>
    <r>
      <t>s</t>
    </r>
    <r>
      <rPr>
        <vertAlign val="subscript"/>
        <sz val="11"/>
        <color theme="1"/>
        <rFont val="Calibri"/>
        <family val="2"/>
        <scheme val="minor"/>
      </rPr>
      <t>a</t>
    </r>
    <r>
      <rPr>
        <vertAlign val="superscript"/>
        <sz val="11"/>
        <color theme="1"/>
        <rFont val="Calibri"/>
        <family val="2"/>
        <scheme val="minor"/>
      </rPr>
      <t>2</t>
    </r>
    <r>
      <rPr>
        <sz val="11"/>
        <color theme="1"/>
        <rFont val="Calibri"/>
        <family val="2"/>
        <scheme val="minor"/>
      </rPr>
      <t>(1+</t>
    </r>
    <r>
      <rPr>
        <sz val="11"/>
        <color theme="1"/>
        <rFont val="Symbol"/>
        <family val="1"/>
        <charset val="2"/>
      </rPr>
      <t>q</t>
    </r>
    <r>
      <rPr>
        <vertAlign val="subscript"/>
        <sz val="11"/>
        <color theme="1"/>
        <rFont val="Symbol"/>
        <family val="1"/>
        <charset val="2"/>
      </rPr>
      <t>1</t>
    </r>
    <r>
      <rPr>
        <vertAlign val="superscript"/>
        <sz val="11"/>
        <color theme="1"/>
        <rFont val="Symbol"/>
        <family val="1"/>
        <charset val="2"/>
      </rPr>
      <t>2</t>
    </r>
    <r>
      <rPr>
        <sz val="11"/>
        <color theme="1"/>
        <rFont val="Symbol"/>
        <family val="1"/>
        <charset val="2"/>
      </rPr>
      <t>+q</t>
    </r>
    <r>
      <rPr>
        <vertAlign val="subscript"/>
        <sz val="11"/>
        <color theme="1"/>
        <rFont val="Symbol"/>
        <family val="1"/>
        <charset val="2"/>
      </rPr>
      <t>2</t>
    </r>
    <r>
      <rPr>
        <vertAlign val="superscript"/>
        <sz val="11"/>
        <color theme="1"/>
        <rFont val="Symbol"/>
        <family val="1"/>
        <charset val="2"/>
      </rPr>
      <t>2</t>
    </r>
    <r>
      <rPr>
        <sz val="11"/>
        <color theme="1"/>
        <rFont val="Symbol"/>
        <family val="1"/>
        <charset val="2"/>
      </rPr>
      <t>+q</t>
    </r>
    <r>
      <rPr>
        <vertAlign val="subscript"/>
        <sz val="11"/>
        <color theme="1"/>
        <rFont val="Symbol"/>
        <family val="1"/>
        <charset val="2"/>
      </rPr>
      <t>3</t>
    </r>
    <r>
      <rPr>
        <vertAlign val="superscript"/>
        <sz val="11"/>
        <color theme="1"/>
        <rFont val="Symbol"/>
        <family val="1"/>
        <charset val="2"/>
      </rPr>
      <t>2</t>
    </r>
    <r>
      <rPr>
        <sz val="11"/>
        <color theme="1"/>
        <rFont val="Symbol"/>
        <family val="1"/>
        <charset val="2"/>
      </rPr>
      <t>)-</t>
    </r>
    <r>
      <rPr>
        <sz val="11"/>
        <color theme="1"/>
        <rFont val="Calibri"/>
        <family val="2"/>
        <scheme val="minor"/>
      </rPr>
      <t>c</t>
    </r>
    <r>
      <rPr>
        <vertAlign val="subscript"/>
        <sz val="11"/>
        <color theme="1"/>
        <rFont val="Calibri"/>
        <family val="2"/>
        <scheme val="minor"/>
      </rPr>
      <t>0</t>
    </r>
    <r>
      <rPr>
        <sz val="11"/>
        <color theme="1"/>
        <rFont val="Calibri"/>
        <family val="2"/>
        <scheme val="minor"/>
      </rPr>
      <t>'=0</t>
    </r>
  </si>
  <si>
    <r>
      <t>q</t>
    </r>
    <r>
      <rPr>
        <vertAlign val="subscript"/>
        <sz val="11"/>
        <color theme="1"/>
        <rFont val="Symbol"/>
        <family val="1"/>
        <charset val="2"/>
      </rPr>
      <t>1</t>
    </r>
    <r>
      <rPr>
        <sz val="11"/>
        <color theme="1"/>
        <rFont val="Symbol"/>
        <family val="1"/>
        <charset val="2"/>
      </rPr>
      <t>-q</t>
    </r>
    <r>
      <rPr>
        <vertAlign val="subscript"/>
        <sz val="11"/>
        <color theme="1"/>
        <rFont val="Symbol"/>
        <family val="1"/>
        <charset val="2"/>
      </rPr>
      <t>1</t>
    </r>
    <r>
      <rPr>
        <sz val="11"/>
        <color theme="1"/>
        <rFont val="Symbol"/>
        <family val="1"/>
        <charset val="2"/>
      </rPr>
      <t>q</t>
    </r>
    <r>
      <rPr>
        <vertAlign val="subscript"/>
        <sz val="11"/>
        <color theme="1"/>
        <rFont val="Symbol"/>
        <family val="1"/>
        <charset val="2"/>
      </rPr>
      <t>2</t>
    </r>
    <r>
      <rPr>
        <sz val="11"/>
        <color theme="1"/>
        <rFont val="Symbol"/>
        <family val="1"/>
        <charset val="2"/>
      </rPr>
      <t>-q</t>
    </r>
    <r>
      <rPr>
        <vertAlign val="subscript"/>
        <sz val="11"/>
        <color theme="1"/>
        <rFont val="Symbol"/>
        <family val="1"/>
        <charset val="2"/>
      </rPr>
      <t>2</t>
    </r>
    <r>
      <rPr>
        <sz val="11"/>
        <color theme="1"/>
        <rFont val="Symbol"/>
        <family val="1"/>
        <charset val="2"/>
      </rPr>
      <t>q</t>
    </r>
    <r>
      <rPr>
        <vertAlign val="subscript"/>
        <sz val="11"/>
        <color theme="1"/>
        <rFont val="Symbol"/>
        <family val="1"/>
        <charset val="2"/>
      </rPr>
      <t>2</t>
    </r>
    <r>
      <rPr>
        <sz val="11"/>
        <color theme="1"/>
        <rFont val="Symbol"/>
        <family val="1"/>
        <charset val="2"/>
      </rPr>
      <t>+</t>
    </r>
    <r>
      <rPr>
        <sz val="11"/>
        <color theme="1"/>
        <rFont val="Calibri"/>
        <family val="2"/>
        <scheme val="minor"/>
      </rPr>
      <t>c</t>
    </r>
    <r>
      <rPr>
        <vertAlign val="subscript"/>
        <sz val="11"/>
        <color theme="1"/>
        <rFont val="Symbol"/>
        <family val="1"/>
        <charset val="2"/>
      </rPr>
      <t>1</t>
    </r>
    <r>
      <rPr>
        <sz val="11"/>
        <color theme="1"/>
        <rFont val="Calibri"/>
        <family val="2"/>
        <scheme val="minor"/>
      </rPr>
      <t>'</t>
    </r>
    <r>
      <rPr>
        <sz val="11"/>
        <color theme="1"/>
        <rFont val="Symbol"/>
        <family val="1"/>
        <charset val="2"/>
      </rPr>
      <t>/s</t>
    </r>
    <r>
      <rPr>
        <vertAlign val="subscript"/>
        <sz val="11"/>
        <color theme="1"/>
        <rFont val="Calibri"/>
        <family val="2"/>
        <scheme val="minor"/>
      </rPr>
      <t>a</t>
    </r>
    <r>
      <rPr>
        <vertAlign val="superscript"/>
        <sz val="11"/>
        <color theme="1"/>
        <rFont val="Calibri"/>
        <family val="2"/>
        <scheme val="minor"/>
      </rPr>
      <t>2</t>
    </r>
    <r>
      <rPr>
        <sz val="11"/>
        <color theme="1"/>
        <rFont val="Calibri"/>
        <family val="2"/>
        <scheme val="minor"/>
      </rPr>
      <t>=0</t>
    </r>
  </si>
  <si>
    <r>
      <t>q</t>
    </r>
    <r>
      <rPr>
        <vertAlign val="subscript"/>
        <sz val="11"/>
        <color theme="1"/>
        <rFont val="Symbol"/>
        <family val="1"/>
        <charset val="2"/>
      </rPr>
      <t>3</t>
    </r>
    <r>
      <rPr>
        <vertAlign val="superscript"/>
        <sz val="11"/>
        <color theme="1"/>
        <rFont val="Symbol"/>
        <family val="1"/>
        <charset val="2"/>
      </rPr>
      <t>2</t>
    </r>
    <r>
      <rPr>
        <sz val="11"/>
        <color theme="1"/>
        <rFont val="Symbol"/>
        <family val="1"/>
        <charset val="2"/>
      </rPr>
      <t>s</t>
    </r>
    <r>
      <rPr>
        <vertAlign val="subscript"/>
        <sz val="11"/>
        <color theme="1"/>
        <rFont val="Calibri"/>
        <family val="2"/>
        <scheme val="minor"/>
      </rPr>
      <t>a</t>
    </r>
    <r>
      <rPr>
        <vertAlign val="superscript"/>
        <sz val="11"/>
        <color theme="1"/>
        <rFont val="Calibri"/>
        <family val="2"/>
        <scheme val="minor"/>
      </rPr>
      <t>2</t>
    </r>
    <r>
      <rPr>
        <sz val="11"/>
        <color theme="1"/>
        <rFont val="Calibri"/>
        <family val="2"/>
        <scheme val="minor"/>
      </rPr>
      <t>+c</t>
    </r>
    <r>
      <rPr>
        <vertAlign val="subscript"/>
        <sz val="11"/>
        <color theme="1"/>
        <rFont val="Calibri"/>
        <family val="2"/>
        <scheme val="minor"/>
      </rPr>
      <t>3</t>
    </r>
    <r>
      <rPr>
        <sz val="11"/>
        <color theme="1"/>
        <rFont val="Calibri"/>
        <family val="2"/>
        <scheme val="minor"/>
      </rPr>
      <t>'=0</t>
    </r>
  </si>
  <si>
    <r>
      <t>q</t>
    </r>
    <r>
      <rPr>
        <vertAlign val="subscript"/>
        <sz val="11"/>
        <color theme="1"/>
        <rFont val="Symbol"/>
        <family val="1"/>
        <charset val="2"/>
      </rPr>
      <t>2</t>
    </r>
    <r>
      <rPr>
        <sz val="11"/>
        <color theme="1"/>
        <rFont val="Symbol"/>
        <family val="1"/>
        <charset val="2"/>
      </rPr>
      <t>-q</t>
    </r>
    <r>
      <rPr>
        <vertAlign val="subscript"/>
        <sz val="11"/>
        <color theme="1"/>
        <rFont val="Symbol"/>
        <family val="1"/>
        <charset val="2"/>
      </rPr>
      <t>1</t>
    </r>
    <r>
      <rPr>
        <sz val="11"/>
        <color theme="1"/>
        <rFont val="Symbol"/>
        <family val="1"/>
        <charset val="2"/>
      </rPr>
      <t>q</t>
    </r>
    <r>
      <rPr>
        <vertAlign val="subscript"/>
        <sz val="11"/>
        <color theme="1"/>
        <rFont val="Symbol"/>
        <family val="1"/>
        <charset val="2"/>
      </rPr>
      <t>3</t>
    </r>
    <r>
      <rPr>
        <sz val="11"/>
        <color theme="1"/>
        <rFont val="Symbol"/>
        <family val="1"/>
        <charset val="2"/>
      </rPr>
      <t>+</t>
    </r>
    <r>
      <rPr>
        <sz val="11"/>
        <color theme="1"/>
        <rFont val="Calibri"/>
        <family val="2"/>
        <scheme val="minor"/>
      </rPr>
      <t>c</t>
    </r>
    <r>
      <rPr>
        <vertAlign val="subscript"/>
        <sz val="11"/>
        <color theme="1"/>
        <rFont val="Symbol"/>
        <family val="1"/>
        <charset val="2"/>
      </rPr>
      <t>2</t>
    </r>
    <r>
      <rPr>
        <sz val="11"/>
        <color theme="1"/>
        <rFont val="Calibri"/>
        <family val="2"/>
        <scheme val="minor"/>
      </rPr>
      <t>'</t>
    </r>
    <r>
      <rPr>
        <sz val="11"/>
        <color theme="1"/>
        <rFont val="Symbol"/>
        <family val="1"/>
        <charset val="2"/>
      </rPr>
      <t>/s</t>
    </r>
    <r>
      <rPr>
        <vertAlign val="subscript"/>
        <sz val="11"/>
        <color theme="1"/>
        <rFont val="Calibri"/>
        <family val="2"/>
        <scheme val="minor"/>
      </rPr>
      <t>a</t>
    </r>
    <r>
      <rPr>
        <vertAlign val="superscript"/>
        <sz val="11"/>
        <color theme="1"/>
        <rFont val="Calibri"/>
        <family val="2"/>
        <scheme val="minor"/>
      </rPr>
      <t>2</t>
    </r>
    <r>
      <rPr>
        <sz val="11"/>
        <color theme="1"/>
        <rFont val="Calibri"/>
        <family val="2"/>
        <scheme val="minor"/>
      </rPr>
      <t>=0</t>
    </r>
  </si>
  <si>
    <t>k,20</t>
  </si>
  <si>
    <t>k,19</t>
  </si>
  <si>
    <t>k,18</t>
  </si>
  <si>
    <t>k,17</t>
  </si>
  <si>
    <t>k,16</t>
  </si>
  <si>
    <t>k,15</t>
  </si>
  <si>
    <t>k,14</t>
  </si>
  <si>
    <t>k,13</t>
  </si>
  <si>
    <t>k,12</t>
  </si>
  <si>
    <t>k,11</t>
  </si>
  <si>
    <t>k,10</t>
  </si>
  <si>
    <t>k,9</t>
  </si>
  <si>
    <t>k,8</t>
  </si>
  <si>
    <t>k,7</t>
  </si>
  <si>
    <t>k,6</t>
  </si>
  <si>
    <t>k,5</t>
  </si>
  <si>
    <t>k,4</t>
  </si>
  <si>
    <t>k,3</t>
  </si>
  <si>
    <t>k,2</t>
  </si>
  <si>
    <t>k,1</t>
  </si>
  <si>
    <r>
      <t>PACF r</t>
    </r>
    <r>
      <rPr>
        <vertAlign val="subscript"/>
        <sz val="11"/>
        <rFont val="Calibri"/>
        <family val="2"/>
        <scheme val="minor"/>
      </rPr>
      <t>k,j</t>
    </r>
  </si>
  <si>
    <r>
      <t>ACF r</t>
    </r>
    <r>
      <rPr>
        <vertAlign val="subscript"/>
        <sz val="11"/>
        <rFont val="Calibri"/>
        <family val="2"/>
        <scheme val="minor"/>
      </rPr>
      <t>k</t>
    </r>
  </si>
  <si>
    <t>Lag k</t>
  </si>
  <si>
    <t>+CI</t>
  </si>
  <si>
    <t>-CI</t>
  </si>
  <si>
    <t>2SE</t>
  </si>
  <si>
    <r>
      <t>PACF Diff y</t>
    </r>
    <r>
      <rPr>
        <b/>
        <vertAlign val="subscript"/>
        <sz val="11"/>
        <rFont val="Calibri"/>
        <family val="2"/>
        <scheme val="minor"/>
      </rPr>
      <t>t</t>
    </r>
  </si>
  <si>
    <r>
      <t>PACF y</t>
    </r>
    <r>
      <rPr>
        <b/>
        <vertAlign val="subscript"/>
        <sz val="11"/>
        <rFont val="Calibri"/>
        <family val="2"/>
        <scheme val="minor"/>
      </rPr>
      <t>t</t>
    </r>
  </si>
  <si>
    <r>
      <t>ACF Diff y</t>
    </r>
    <r>
      <rPr>
        <b/>
        <vertAlign val="subscript"/>
        <sz val="11"/>
        <rFont val="Calibri"/>
        <family val="2"/>
        <scheme val="minor"/>
      </rPr>
      <t>t</t>
    </r>
  </si>
  <si>
    <r>
      <t>y</t>
    </r>
    <r>
      <rPr>
        <b/>
        <vertAlign val="subscript"/>
        <sz val="11"/>
        <rFont val="Calibri"/>
        <family val="2"/>
        <scheme val="minor"/>
      </rPr>
      <t>t</t>
    </r>
    <r>
      <rPr>
        <b/>
        <sz val="11"/>
        <rFont val="Calibri"/>
        <family val="2"/>
        <scheme val="minor"/>
      </rPr>
      <t xml:space="preserve"> - </t>
    </r>
    <r>
      <rPr>
        <b/>
        <sz val="11"/>
        <rFont val="Symbol"/>
        <family val="1"/>
        <charset val="2"/>
      </rPr>
      <t>m</t>
    </r>
  </si>
  <si>
    <r>
      <t>Diff y</t>
    </r>
    <r>
      <rPr>
        <b/>
        <vertAlign val="subscript"/>
        <sz val="11"/>
        <rFont val="Calibri"/>
        <family val="2"/>
        <scheme val="minor"/>
      </rPr>
      <t>t</t>
    </r>
  </si>
  <si>
    <t>Diff. Level</t>
  </si>
  <si>
    <r>
      <t>ACF y</t>
    </r>
    <r>
      <rPr>
        <b/>
        <vertAlign val="subscript"/>
        <sz val="11"/>
        <rFont val="Calibri"/>
        <family val="2"/>
        <scheme val="minor"/>
      </rPr>
      <t>t</t>
    </r>
  </si>
  <si>
    <t>Autocov.</t>
  </si>
  <si>
    <r>
      <t>y</t>
    </r>
    <r>
      <rPr>
        <b/>
        <vertAlign val="subscript"/>
        <sz val="11"/>
        <rFont val="Calibri"/>
        <family val="2"/>
        <scheme val="minor"/>
      </rPr>
      <t>t</t>
    </r>
  </si>
  <si>
    <t xml:space="preserve">PERIOD </t>
  </si>
  <si>
    <r>
      <rPr>
        <sz val="12"/>
        <color theme="1"/>
        <rFont val="Calibri"/>
        <family val="2"/>
        <scheme val="minor"/>
      </rPr>
      <t>c</t>
    </r>
    <r>
      <rPr>
        <vertAlign val="subscript"/>
        <sz val="12"/>
        <color theme="1"/>
        <rFont val="Calibri"/>
        <family val="2"/>
        <scheme val="minor"/>
      </rPr>
      <t>2</t>
    </r>
    <r>
      <rPr>
        <sz val="12"/>
        <color theme="1"/>
        <rFont val="Calibri"/>
        <family val="2"/>
        <scheme val="minor"/>
      </rPr>
      <t xml:space="preserve">' </t>
    </r>
    <r>
      <rPr>
        <sz val="12"/>
        <color theme="1"/>
        <rFont val="Symbol"/>
        <family val="2"/>
        <charset val="2"/>
      </rPr>
      <t xml:space="preserve">= </t>
    </r>
    <r>
      <rPr>
        <sz val="12"/>
        <color theme="1"/>
        <rFont val="Calibri"/>
        <family val="2"/>
        <scheme val="minor"/>
      </rPr>
      <t>c</t>
    </r>
    <r>
      <rPr>
        <vertAlign val="subscript"/>
        <sz val="12"/>
        <color theme="1"/>
        <rFont val="Calibri"/>
        <family val="2"/>
        <scheme val="minor"/>
      </rPr>
      <t>2</t>
    </r>
    <r>
      <rPr>
        <sz val="12"/>
        <color theme="1"/>
        <rFont val="Symbol"/>
        <family val="1"/>
        <charset val="2"/>
      </rPr>
      <t>(1+f</t>
    </r>
    <r>
      <rPr>
        <vertAlign val="subscript"/>
        <sz val="12"/>
        <color theme="1"/>
        <rFont val="Symbol"/>
        <family val="1"/>
        <charset val="2"/>
      </rPr>
      <t>1</t>
    </r>
    <r>
      <rPr>
        <vertAlign val="superscript"/>
        <sz val="12"/>
        <color theme="1"/>
        <rFont val="Symbol"/>
        <family val="1"/>
        <charset val="2"/>
      </rPr>
      <t>2</t>
    </r>
    <r>
      <rPr>
        <sz val="12"/>
        <color theme="1"/>
        <rFont val="Symbol"/>
        <family val="1"/>
        <charset val="2"/>
      </rPr>
      <t>+f</t>
    </r>
    <r>
      <rPr>
        <vertAlign val="subscript"/>
        <sz val="12"/>
        <color theme="1"/>
        <rFont val="Symbol"/>
        <family val="1"/>
        <charset val="2"/>
      </rPr>
      <t>2</t>
    </r>
    <r>
      <rPr>
        <vertAlign val="superscript"/>
        <sz val="12"/>
        <color theme="1"/>
        <rFont val="Symbol"/>
        <family val="1"/>
        <charset val="2"/>
      </rPr>
      <t>2</t>
    </r>
    <r>
      <rPr>
        <sz val="12"/>
        <color theme="1"/>
        <rFont val="Symbol"/>
        <family val="1"/>
        <charset val="2"/>
      </rPr>
      <t>) - [(f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2</t>
    </r>
    <r>
      <rPr>
        <sz val="12"/>
        <color theme="1"/>
        <rFont val="Symbol"/>
        <family val="1"/>
        <charset val="2"/>
      </rPr>
      <t>)(</t>
    </r>
    <r>
      <rPr>
        <sz val="12"/>
        <color theme="1"/>
        <rFont val="Calibri"/>
        <family val="2"/>
        <scheme val="minor"/>
      </rPr>
      <t>c</t>
    </r>
    <r>
      <rPr>
        <vertAlign val="subscript"/>
        <sz val="12"/>
        <color theme="1"/>
        <rFont val="Calibri"/>
        <family val="2"/>
        <scheme val="minor"/>
      </rPr>
      <t>3</t>
    </r>
    <r>
      <rPr>
        <sz val="12"/>
        <color theme="1"/>
        <rFont val="Calibri"/>
        <family val="2"/>
        <scheme val="minor"/>
      </rPr>
      <t>+c</t>
    </r>
    <r>
      <rPr>
        <vertAlign val="subscript"/>
        <sz val="12"/>
        <color theme="1"/>
        <rFont val="Calibri"/>
        <family val="2"/>
        <scheme val="minor"/>
      </rPr>
      <t>1</t>
    </r>
    <r>
      <rPr>
        <sz val="12"/>
        <color theme="1"/>
        <rFont val="Calibri"/>
        <family val="2"/>
        <scheme val="minor"/>
      </rPr>
      <t>)+(</t>
    </r>
    <r>
      <rPr>
        <sz val="12"/>
        <color theme="1"/>
        <rFont val="Symbol"/>
        <family val="1"/>
        <charset val="2"/>
      </rPr>
      <t>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2</t>
    </r>
    <r>
      <rPr>
        <sz val="12"/>
        <color theme="1"/>
        <rFont val="Calibri"/>
        <family val="2"/>
        <scheme val="minor"/>
      </rPr>
      <t>)(c</t>
    </r>
    <r>
      <rPr>
        <vertAlign val="subscript"/>
        <sz val="12"/>
        <color theme="1"/>
        <rFont val="Calibri"/>
        <family val="2"/>
        <scheme val="minor"/>
      </rPr>
      <t>4</t>
    </r>
    <r>
      <rPr>
        <sz val="12"/>
        <color theme="1"/>
        <rFont val="Calibri"/>
        <family val="2"/>
        <scheme val="minor"/>
      </rPr>
      <t>+c</t>
    </r>
    <r>
      <rPr>
        <vertAlign val="subscript"/>
        <sz val="12"/>
        <color theme="1"/>
        <rFont val="Calibri"/>
        <family val="2"/>
        <scheme val="minor"/>
      </rPr>
      <t>0</t>
    </r>
    <r>
      <rPr>
        <sz val="12"/>
        <color theme="1"/>
        <rFont val="Calibri"/>
        <family val="2"/>
        <scheme val="minor"/>
      </rPr>
      <t>)]</t>
    </r>
    <r>
      <rPr>
        <sz val="12"/>
        <color theme="1"/>
        <rFont val="Symbol"/>
        <family val="1"/>
        <charset val="2"/>
      </rPr>
      <t xml:space="preserve"> </t>
    </r>
  </si>
  <si>
    <r>
      <rPr>
        <sz val="12"/>
        <color theme="1"/>
        <rFont val="Calibri"/>
        <family val="2"/>
        <scheme val="minor"/>
      </rPr>
      <t>c</t>
    </r>
    <r>
      <rPr>
        <vertAlign val="subscript"/>
        <sz val="12"/>
        <color theme="1"/>
        <rFont val="Calibri"/>
        <family val="2"/>
        <scheme val="minor"/>
      </rPr>
      <t>3</t>
    </r>
    <r>
      <rPr>
        <sz val="12"/>
        <color theme="1"/>
        <rFont val="Calibri"/>
        <family val="2"/>
        <scheme val="minor"/>
      </rPr>
      <t xml:space="preserve">' </t>
    </r>
    <r>
      <rPr>
        <sz val="12"/>
        <color theme="1"/>
        <rFont val="Symbol"/>
        <family val="2"/>
        <charset val="2"/>
      </rPr>
      <t xml:space="preserve">= </t>
    </r>
    <r>
      <rPr>
        <sz val="12"/>
        <color theme="1"/>
        <rFont val="Calibri"/>
        <family val="2"/>
        <scheme val="minor"/>
      </rPr>
      <t>c</t>
    </r>
    <r>
      <rPr>
        <vertAlign val="subscript"/>
        <sz val="12"/>
        <color theme="1"/>
        <rFont val="Calibri"/>
        <family val="2"/>
        <scheme val="minor"/>
      </rPr>
      <t>3</t>
    </r>
    <r>
      <rPr>
        <sz val="12"/>
        <color theme="1"/>
        <rFont val="Symbol"/>
        <family val="1"/>
        <charset val="2"/>
      </rPr>
      <t>(1+f</t>
    </r>
    <r>
      <rPr>
        <vertAlign val="subscript"/>
        <sz val="12"/>
        <color theme="1"/>
        <rFont val="Symbol"/>
        <family val="1"/>
        <charset val="2"/>
      </rPr>
      <t>1</t>
    </r>
    <r>
      <rPr>
        <vertAlign val="superscript"/>
        <sz val="12"/>
        <color theme="1"/>
        <rFont val="Symbol"/>
        <family val="1"/>
        <charset val="2"/>
      </rPr>
      <t>2</t>
    </r>
    <r>
      <rPr>
        <sz val="12"/>
        <color theme="1"/>
        <rFont val="Symbol"/>
        <family val="1"/>
        <charset val="2"/>
      </rPr>
      <t>+f</t>
    </r>
    <r>
      <rPr>
        <vertAlign val="subscript"/>
        <sz val="12"/>
        <color theme="1"/>
        <rFont val="Symbol"/>
        <family val="1"/>
        <charset val="2"/>
      </rPr>
      <t>2</t>
    </r>
    <r>
      <rPr>
        <vertAlign val="superscript"/>
        <sz val="12"/>
        <color theme="1"/>
        <rFont val="Symbol"/>
        <family val="1"/>
        <charset val="2"/>
      </rPr>
      <t>2</t>
    </r>
    <r>
      <rPr>
        <sz val="12"/>
        <color theme="1"/>
        <rFont val="Symbol"/>
        <family val="1"/>
        <charset val="2"/>
      </rPr>
      <t>) - [(f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2</t>
    </r>
    <r>
      <rPr>
        <sz val="12"/>
        <color theme="1"/>
        <rFont val="Symbol"/>
        <family val="1"/>
        <charset val="2"/>
      </rPr>
      <t>)(</t>
    </r>
    <r>
      <rPr>
        <sz val="12"/>
        <color theme="1"/>
        <rFont val="Calibri"/>
        <family val="2"/>
        <scheme val="minor"/>
      </rPr>
      <t>c</t>
    </r>
    <r>
      <rPr>
        <vertAlign val="subscript"/>
        <sz val="12"/>
        <color theme="1"/>
        <rFont val="Calibri"/>
        <family val="2"/>
        <scheme val="minor"/>
      </rPr>
      <t>4</t>
    </r>
    <r>
      <rPr>
        <sz val="12"/>
        <color theme="1"/>
        <rFont val="Calibri"/>
        <family val="2"/>
        <scheme val="minor"/>
      </rPr>
      <t>+c</t>
    </r>
    <r>
      <rPr>
        <vertAlign val="subscript"/>
        <sz val="12"/>
        <color theme="1"/>
        <rFont val="Calibri"/>
        <family val="2"/>
        <scheme val="minor"/>
      </rPr>
      <t>2</t>
    </r>
    <r>
      <rPr>
        <sz val="12"/>
        <color theme="1"/>
        <rFont val="Calibri"/>
        <family val="2"/>
        <scheme val="minor"/>
      </rPr>
      <t>)+(</t>
    </r>
    <r>
      <rPr>
        <sz val="12"/>
        <color theme="1"/>
        <rFont val="Symbol"/>
        <family val="1"/>
        <charset val="2"/>
      </rPr>
      <t>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1</t>
    </r>
    <r>
      <rPr>
        <sz val="12"/>
        <color theme="1"/>
        <rFont val="Symbol"/>
        <family val="1"/>
        <charset val="2"/>
      </rPr>
      <t>f</t>
    </r>
    <r>
      <rPr>
        <vertAlign val="subscript"/>
        <sz val="12"/>
        <color theme="1"/>
        <rFont val="Symbol"/>
        <family val="1"/>
        <charset val="2"/>
      </rPr>
      <t>2</t>
    </r>
    <r>
      <rPr>
        <sz val="12"/>
        <color theme="1"/>
        <rFont val="Calibri"/>
        <family val="2"/>
        <scheme val="minor"/>
      </rPr>
      <t>)(c</t>
    </r>
    <r>
      <rPr>
        <vertAlign val="subscript"/>
        <sz val="12"/>
        <color theme="1"/>
        <rFont val="Calibri"/>
        <family val="2"/>
        <scheme val="minor"/>
      </rPr>
      <t>5</t>
    </r>
    <r>
      <rPr>
        <sz val="12"/>
        <color theme="1"/>
        <rFont val="Calibri"/>
        <family val="2"/>
        <scheme val="minor"/>
      </rPr>
      <t>+c</t>
    </r>
    <r>
      <rPr>
        <vertAlign val="subscript"/>
        <sz val="12"/>
        <color theme="1"/>
        <rFont val="Calibri"/>
        <family val="2"/>
        <scheme val="minor"/>
      </rPr>
      <t>1</t>
    </r>
    <r>
      <rPr>
        <sz val="12"/>
        <color theme="1"/>
        <rFont val="Calibri"/>
        <family val="2"/>
        <scheme val="minor"/>
      </rPr>
      <t>)]</t>
    </r>
    <r>
      <rPr>
        <sz val="12"/>
        <color theme="1"/>
        <rFont val="Symbol"/>
        <family val="1"/>
        <charset val="2"/>
      </rPr>
      <t xml:space="preserve"> </t>
    </r>
  </si>
  <si>
    <t>Note:</t>
  </si>
  <si>
    <t>The values are copied from</t>
  </si>
  <si>
    <t>the previous sheet and new</t>
  </si>
  <si>
    <t>Value</t>
  </si>
  <si>
    <t>Comment</t>
  </si>
  <si>
    <r>
      <rPr>
        <sz val="11"/>
        <rFont val="Calibri"/>
        <family val="2"/>
        <scheme val="minor"/>
      </rPr>
      <t>Criterion for use of</t>
    </r>
    <r>
      <rPr>
        <sz val="11"/>
        <rFont val="Symbol"/>
        <family val="1"/>
        <charset val="2"/>
      </rPr>
      <t xml:space="preserve"> d</t>
    </r>
  </si>
  <si>
    <t>95% Confid. 1.96*SE</t>
  </si>
  <si>
    <t>p</t>
  </si>
  <si>
    <t>q</t>
  </si>
  <si>
    <r>
      <rPr>
        <sz val="11"/>
        <rFont val="Symbol"/>
        <family val="1"/>
        <charset val="2"/>
      </rPr>
      <t>f</t>
    </r>
    <r>
      <rPr>
        <vertAlign val="subscript"/>
        <sz val="11"/>
        <rFont val="Calibri"/>
        <family val="2"/>
        <scheme val="minor"/>
      </rPr>
      <t>3</t>
    </r>
  </si>
  <si>
    <r>
      <rPr>
        <sz val="11"/>
        <rFont val="Symbol"/>
        <family val="1"/>
        <charset val="2"/>
      </rPr>
      <t>q</t>
    </r>
    <r>
      <rPr>
        <vertAlign val="subscript"/>
        <sz val="11"/>
        <rFont val="Calibri"/>
        <family val="2"/>
        <scheme val="minor"/>
      </rPr>
      <t>3</t>
    </r>
  </si>
  <si>
    <r>
      <rPr>
        <sz val="11"/>
        <rFont val="Symbol"/>
        <family val="1"/>
        <charset val="2"/>
      </rPr>
      <t>f</t>
    </r>
    <r>
      <rPr>
        <vertAlign val="subscript"/>
        <sz val="11"/>
        <rFont val="Calibri"/>
        <family val="2"/>
        <scheme val="minor"/>
      </rPr>
      <t>2</t>
    </r>
  </si>
  <si>
    <r>
      <rPr>
        <sz val="11"/>
        <rFont val="Symbol"/>
        <family val="1"/>
        <charset val="2"/>
      </rPr>
      <t>q</t>
    </r>
    <r>
      <rPr>
        <vertAlign val="subscript"/>
        <sz val="11"/>
        <rFont val="Calibri"/>
        <family val="2"/>
        <scheme val="minor"/>
      </rPr>
      <t>2</t>
    </r>
  </si>
  <si>
    <r>
      <rPr>
        <sz val="11"/>
        <rFont val="Symbol"/>
        <family val="1"/>
        <charset val="2"/>
      </rPr>
      <t>f</t>
    </r>
    <r>
      <rPr>
        <vertAlign val="subscript"/>
        <sz val="11"/>
        <rFont val="Calibri"/>
        <family val="2"/>
        <scheme val="minor"/>
      </rPr>
      <t>1</t>
    </r>
  </si>
  <si>
    <r>
      <rPr>
        <sz val="11"/>
        <rFont val="Symbol"/>
        <family val="1"/>
        <charset val="2"/>
      </rPr>
      <t>q</t>
    </r>
    <r>
      <rPr>
        <vertAlign val="subscript"/>
        <sz val="11"/>
        <rFont val="Calibri"/>
        <family val="2"/>
        <scheme val="minor"/>
      </rPr>
      <t>1</t>
    </r>
  </si>
  <si>
    <t>Permissible Region</t>
  </si>
  <si>
    <r>
      <t>AR(1) -1&lt;</t>
    </r>
    <r>
      <rPr>
        <sz val="11"/>
        <rFont val="Symbol"/>
        <family val="1"/>
        <charset val="2"/>
      </rPr>
      <t>f</t>
    </r>
    <r>
      <rPr>
        <vertAlign val="subscript"/>
        <sz val="11"/>
        <rFont val="Calibri"/>
        <family val="2"/>
        <scheme val="minor"/>
      </rPr>
      <t>1</t>
    </r>
    <r>
      <rPr>
        <sz val="11"/>
        <rFont val="Calibri"/>
        <family val="2"/>
        <scheme val="minor"/>
      </rPr>
      <t>&lt;1</t>
    </r>
  </si>
  <si>
    <r>
      <t>MA(1) -1&lt;</t>
    </r>
    <r>
      <rPr>
        <sz val="11"/>
        <rFont val="Symbol"/>
        <family val="1"/>
        <charset val="2"/>
      </rPr>
      <t>q</t>
    </r>
    <r>
      <rPr>
        <vertAlign val="subscript"/>
        <sz val="11"/>
        <rFont val="Calibri"/>
        <family val="2"/>
        <scheme val="minor"/>
      </rPr>
      <t>1</t>
    </r>
    <r>
      <rPr>
        <sz val="11"/>
        <rFont val="Calibri"/>
        <family val="2"/>
        <scheme val="minor"/>
      </rPr>
      <t>&lt;1</t>
    </r>
  </si>
  <si>
    <r>
      <t>AR(2)-1&lt;</t>
    </r>
    <r>
      <rPr>
        <sz val="11"/>
        <rFont val="Symbol"/>
        <family val="1"/>
        <charset val="2"/>
      </rPr>
      <t>f</t>
    </r>
    <r>
      <rPr>
        <vertAlign val="subscript"/>
        <sz val="11"/>
        <rFont val="Calibri"/>
        <family val="2"/>
        <scheme val="minor"/>
      </rPr>
      <t>2</t>
    </r>
    <r>
      <rPr>
        <sz val="11"/>
        <rFont val="Calibri"/>
        <family val="2"/>
        <scheme val="minor"/>
      </rPr>
      <t>&lt;1</t>
    </r>
  </si>
  <si>
    <r>
      <t xml:space="preserve">AR(2) </t>
    </r>
    <r>
      <rPr>
        <sz val="11"/>
        <rFont val="Symbol"/>
        <family val="1"/>
        <charset val="2"/>
      </rPr>
      <t>f</t>
    </r>
    <r>
      <rPr>
        <vertAlign val="subscript"/>
        <sz val="11"/>
        <rFont val="Calibri"/>
        <family val="2"/>
        <scheme val="minor"/>
      </rPr>
      <t>1</t>
    </r>
    <r>
      <rPr>
        <sz val="11"/>
        <rFont val="Calibri"/>
        <family val="2"/>
        <scheme val="minor"/>
      </rPr>
      <t>+</t>
    </r>
    <r>
      <rPr>
        <sz val="11"/>
        <rFont val="Symbol"/>
        <family val="1"/>
        <charset val="2"/>
      </rPr>
      <t>f</t>
    </r>
    <r>
      <rPr>
        <vertAlign val="subscript"/>
        <sz val="11"/>
        <rFont val="Calibri"/>
        <family val="2"/>
        <scheme val="minor"/>
      </rPr>
      <t>2</t>
    </r>
    <r>
      <rPr>
        <sz val="11"/>
        <rFont val="Calibri"/>
        <family val="2"/>
        <scheme val="minor"/>
      </rPr>
      <t>&lt;1</t>
    </r>
  </si>
  <si>
    <r>
      <t xml:space="preserve">AR(2) </t>
    </r>
    <r>
      <rPr>
        <sz val="11"/>
        <rFont val="Symbol"/>
        <family val="1"/>
        <charset val="2"/>
      </rPr>
      <t>f</t>
    </r>
    <r>
      <rPr>
        <vertAlign val="subscript"/>
        <sz val="11"/>
        <rFont val="Calibri"/>
        <family val="2"/>
        <scheme val="minor"/>
      </rPr>
      <t>2</t>
    </r>
    <r>
      <rPr>
        <sz val="11"/>
        <rFont val="Calibri"/>
        <family val="2"/>
        <scheme val="minor"/>
      </rPr>
      <t>-</t>
    </r>
    <r>
      <rPr>
        <sz val="11"/>
        <rFont val="Symbol"/>
        <family val="1"/>
        <charset val="2"/>
      </rPr>
      <t>f</t>
    </r>
    <r>
      <rPr>
        <vertAlign val="subscript"/>
        <sz val="11"/>
        <rFont val="Calibri"/>
        <family val="2"/>
        <scheme val="minor"/>
      </rPr>
      <t>1</t>
    </r>
    <r>
      <rPr>
        <sz val="11"/>
        <rFont val="Calibri"/>
        <family val="2"/>
        <scheme val="minor"/>
      </rPr>
      <t>&lt;1</t>
    </r>
  </si>
  <si>
    <r>
      <t>MA(2) -1&lt;</t>
    </r>
    <r>
      <rPr>
        <sz val="11"/>
        <rFont val="Symbol"/>
        <family val="1"/>
        <charset val="2"/>
      </rPr>
      <t>q</t>
    </r>
    <r>
      <rPr>
        <vertAlign val="subscript"/>
        <sz val="11"/>
        <rFont val="Calibri"/>
        <family val="2"/>
        <scheme val="minor"/>
      </rPr>
      <t>2</t>
    </r>
    <r>
      <rPr>
        <sz val="11"/>
        <rFont val="Calibri"/>
        <family val="2"/>
        <scheme val="minor"/>
      </rPr>
      <t>&lt;1</t>
    </r>
  </si>
  <si>
    <r>
      <t xml:space="preserve">MA(2) </t>
    </r>
    <r>
      <rPr>
        <sz val="11"/>
        <rFont val="Symbol"/>
        <family val="1"/>
        <charset val="2"/>
      </rPr>
      <t>q</t>
    </r>
    <r>
      <rPr>
        <vertAlign val="subscript"/>
        <sz val="11"/>
        <rFont val="Calibri"/>
        <family val="2"/>
        <scheme val="minor"/>
      </rPr>
      <t>1</t>
    </r>
    <r>
      <rPr>
        <sz val="11"/>
        <rFont val="Calibri"/>
        <family val="2"/>
        <scheme val="minor"/>
      </rPr>
      <t>+</t>
    </r>
    <r>
      <rPr>
        <sz val="11"/>
        <rFont val="Symbol"/>
        <family val="1"/>
        <charset val="2"/>
      </rPr>
      <t>q</t>
    </r>
    <r>
      <rPr>
        <vertAlign val="subscript"/>
        <sz val="11"/>
        <rFont val="Calibri"/>
        <family val="2"/>
        <scheme val="minor"/>
      </rPr>
      <t>2</t>
    </r>
    <r>
      <rPr>
        <sz val="11"/>
        <rFont val="Calibri"/>
        <family val="2"/>
        <scheme val="minor"/>
      </rPr>
      <t>&lt;1</t>
    </r>
  </si>
  <si>
    <r>
      <t xml:space="preserve">MA(2) </t>
    </r>
    <r>
      <rPr>
        <sz val="11"/>
        <rFont val="Symbol"/>
        <family val="1"/>
        <charset val="2"/>
      </rPr>
      <t>q</t>
    </r>
    <r>
      <rPr>
        <vertAlign val="subscript"/>
        <sz val="11"/>
        <rFont val="Calibri"/>
        <family val="2"/>
        <scheme val="minor"/>
      </rPr>
      <t>2</t>
    </r>
    <r>
      <rPr>
        <sz val="11"/>
        <rFont val="Calibri"/>
        <family val="2"/>
        <scheme val="minor"/>
      </rPr>
      <t>-</t>
    </r>
    <r>
      <rPr>
        <sz val="11"/>
        <rFont val="Symbol"/>
        <family val="1"/>
        <charset val="2"/>
      </rPr>
      <t>q</t>
    </r>
    <r>
      <rPr>
        <vertAlign val="subscript"/>
        <sz val="11"/>
        <rFont val="Calibri"/>
        <family val="2"/>
        <scheme val="minor"/>
      </rPr>
      <t>1</t>
    </r>
    <r>
      <rPr>
        <sz val="11"/>
        <rFont val="Calibri"/>
        <family val="2"/>
        <scheme val="minor"/>
      </rPr>
      <t>&lt;1</t>
    </r>
  </si>
  <si>
    <r>
      <t>AR(3) -1&lt;</t>
    </r>
    <r>
      <rPr>
        <sz val="11"/>
        <rFont val="Symbol"/>
        <family val="1"/>
        <charset val="2"/>
      </rPr>
      <t>f</t>
    </r>
    <r>
      <rPr>
        <vertAlign val="subscript"/>
        <sz val="11"/>
        <rFont val="Calibri"/>
        <family val="2"/>
        <scheme val="minor"/>
      </rPr>
      <t>3</t>
    </r>
    <r>
      <rPr>
        <sz val="11"/>
        <rFont val="Calibri"/>
        <family val="2"/>
        <scheme val="minor"/>
      </rPr>
      <t>&lt;1</t>
    </r>
  </si>
  <si>
    <t>Residuals</t>
  </si>
  <si>
    <r>
      <t xml:space="preserve">AR(3) </t>
    </r>
    <r>
      <rPr>
        <sz val="11"/>
        <rFont val="Symbol"/>
        <family val="1"/>
        <charset val="2"/>
      </rPr>
      <t>f</t>
    </r>
    <r>
      <rPr>
        <vertAlign val="subscript"/>
        <sz val="11"/>
        <rFont val="Calibri"/>
        <family val="2"/>
        <scheme val="minor"/>
      </rPr>
      <t>1</t>
    </r>
    <r>
      <rPr>
        <sz val="11"/>
        <rFont val="Calibri"/>
        <family val="2"/>
        <scheme val="minor"/>
      </rPr>
      <t>+</t>
    </r>
    <r>
      <rPr>
        <sz val="11"/>
        <rFont val="Symbol"/>
        <family val="1"/>
        <charset val="2"/>
      </rPr>
      <t>f</t>
    </r>
    <r>
      <rPr>
        <vertAlign val="subscript"/>
        <sz val="11"/>
        <rFont val="Calibri"/>
        <family val="2"/>
        <scheme val="minor"/>
      </rPr>
      <t>2</t>
    </r>
    <r>
      <rPr>
        <sz val="11"/>
        <rFont val="Calibri"/>
        <family val="2"/>
        <scheme val="minor"/>
      </rPr>
      <t>+</t>
    </r>
    <r>
      <rPr>
        <sz val="11"/>
        <rFont val="Symbol"/>
        <family val="1"/>
        <charset val="2"/>
      </rPr>
      <t>f</t>
    </r>
    <r>
      <rPr>
        <vertAlign val="subscript"/>
        <sz val="11"/>
        <rFont val="Calibri"/>
        <family val="2"/>
        <scheme val="minor"/>
      </rPr>
      <t>3</t>
    </r>
    <r>
      <rPr>
        <sz val="11"/>
        <rFont val="Calibri"/>
        <family val="2"/>
        <scheme val="minor"/>
      </rPr>
      <t>&lt;1</t>
    </r>
  </si>
  <si>
    <r>
      <t xml:space="preserve">Residual </t>
    </r>
    <r>
      <rPr>
        <sz val="11"/>
        <rFont val="Symbol"/>
        <family val="1"/>
        <charset val="2"/>
      </rPr>
      <t>m</t>
    </r>
  </si>
  <si>
    <r>
      <t>AR(3) -</t>
    </r>
    <r>
      <rPr>
        <sz val="11"/>
        <rFont val="Symbol"/>
        <family val="1"/>
        <charset val="2"/>
      </rPr>
      <t>f</t>
    </r>
    <r>
      <rPr>
        <vertAlign val="subscript"/>
        <sz val="11"/>
        <rFont val="Calibri"/>
        <family val="2"/>
        <scheme val="minor"/>
      </rPr>
      <t>1</t>
    </r>
    <r>
      <rPr>
        <sz val="11"/>
        <rFont val="Calibri"/>
        <family val="2"/>
        <scheme val="minor"/>
      </rPr>
      <t>+</t>
    </r>
    <r>
      <rPr>
        <sz val="11"/>
        <rFont val="Symbol"/>
        <family val="1"/>
        <charset val="2"/>
      </rPr>
      <t>f</t>
    </r>
    <r>
      <rPr>
        <vertAlign val="subscript"/>
        <sz val="11"/>
        <rFont val="Calibri"/>
        <family val="2"/>
        <scheme val="minor"/>
      </rPr>
      <t>2</t>
    </r>
    <r>
      <rPr>
        <sz val="11"/>
        <rFont val="Calibri"/>
        <family val="2"/>
        <scheme val="minor"/>
      </rPr>
      <t>-</t>
    </r>
    <r>
      <rPr>
        <sz val="11"/>
        <rFont val="Symbol"/>
        <family val="1"/>
        <charset val="2"/>
      </rPr>
      <t>f</t>
    </r>
    <r>
      <rPr>
        <vertAlign val="subscript"/>
        <sz val="11"/>
        <rFont val="Calibri"/>
        <family val="2"/>
        <scheme val="minor"/>
      </rPr>
      <t>3</t>
    </r>
    <r>
      <rPr>
        <sz val="11"/>
        <rFont val="Calibri"/>
        <family val="2"/>
        <scheme val="minor"/>
      </rPr>
      <t>&lt;1</t>
    </r>
  </si>
  <si>
    <r>
      <t>Residual SE</t>
    </r>
    <r>
      <rPr>
        <vertAlign val="subscript"/>
        <sz val="11"/>
        <color theme="1"/>
        <rFont val="Calibri"/>
        <family val="2"/>
        <scheme val="minor"/>
      </rPr>
      <t>e</t>
    </r>
  </si>
  <si>
    <r>
      <t xml:space="preserve">Is Residual </t>
    </r>
    <r>
      <rPr>
        <sz val="11"/>
        <color theme="1"/>
        <rFont val="Symbol"/>
        <family val="1"/>
        <charset val="2"/>
      </rPr>
      <t>m</t>
    </r>
    <r>
      <rPr>
        <sz val="11"/>
        <color theme="1"/>
        <rFont val="Calibri"/>
        <family val="2"/>
        <scheme val="minor"/>
      </rPr>
      <t xml:space="preserve"> zero</t>
    </r>
  </si>
  <si>
    <r>
      <t>MA(3) -1&lt;</t>
    </r>
    <r>
      <rPr>
        <sz val="11"/>
        <rFont val="Symbol"/>
        <family val="1"/>
        <charset val="2"/>
      </rPr>
      <t>q</t>
    </r>
    <r>
      <rPr>
        <vertAlign val="subscript"/>
        <sz val="11"/>
        <rFont val="Calibri"/>
        <family val="2"/>
        <scheme val="minor"/>
      </rPr>
      <t>3</t>
    </r>
    <r>
      <rPr>
        <sz val="11"/>
        <rFont val="Calibri"/>
        <family val="2"/>
        <scheme val="minor"/>
      </rPr>
      <t>&lt;1</t>
    </r>
  </si>
  <si>
    <t>Residual AIC</t>
  </si>
  <si>
    <r>
      <t xml:space="preserve">MA(3) </t>
    </r>
    <r>
      <rPr>
        <sz val="11"/>
        <rFont val="Symbol"/>
        <family val="1"/>
        <charset val="2"/>
      </rPr>
      <t>q</t>
    </r>
    <r>
      <rPr>
        <vertAlign val="subscript"/>
        <sz val="11"/>
        <rFont val="Calibri"/>
        <family val="2"/>
        <scheme val="minor"/>
      </rPr>
      <t>1</t>
    </r>
    <r>
      <rPr>
        <sz val="11"/>
        <rFont val="Calibri"/>
        <family val="2"/>
        <scheme val="minor"/>
      </rPr>
      <t>+</t>
    </r>
    <r>
      <rPr>
        <sz val="11"/>
        <rFont val="Symbol"/>
        <family val="1"/>
        <charset val="2"/>
      </rPr>
      <t>q</t>
    </r>
    <r>
      <rPr>
        <vertAlign val="subscript"/>
        <sz val="11"/>
        <rFont val="Calibri"/>
        <family val="2"/>
        <scheme val="minor"/>
      </rPr>
      <t>2</t>
    </r>
    <r>
      <rPr>
        <sz val="11"/>
        <rFont val="Calibri"/>
        <family val="2"/>
        <scheme val="minor"/>
      </rPr>
      <t>+</t>
    </r>
    <r>
      <rPr>
        <sz val="11"/>
        <rFont val="Symbol"/>
        <family val="1"/>
        <charset val="2"/>
      </rPr>
      <t>q</t>
    </r>
    <r>
      <rPr>
        <vertAlign val="subscript"/>
        <sz val="11"/>
        <rFont val="Calibri"/>
        <family val="2"/>
        <scheme val="minor"/>
      </rPr>
      <t>3</t>
    </r>
    <r>
      <rPr>
        <sz val="11"/>
        <rFont val="Calibri"/>
        <family val="2"/>
        <scheme val="minor"/>
      </rPr>
      <t>&lt;1</t>
    </r>
  </si>
  <si>
    <t>Residual BIC</t>
  </si>
  <si>
    <r>
      <t>MA(3) -</t>
    </r>
    <r>
      <rPr>
        <sz val="11"/>
        <rFont val="Symbol"/>
        <family val="1"/>
        <charset val="2"/>
      </rPr>
      <t>q</t>
    </r>
    <r>
      <rPr>
        <vertAlign val="subscript"/>
        <sz val="11"/>
        <rFont val="Calibri"/>
        <family val="2"/>
        <scheme val="minor"/>
      </rPr>
      <t>1</t>
    </r>
    <r>
      <rPr>
        <sz val="11"/>
        <rFont val="Calibri"/>
        <family val="2"/>
        <scheme val="minor"/>
      </rPr>
      <t>+</t>
    </r>
    <r>
      <rPr>
        <sz val="11"/>
        <rFont val="Symbol"/>
        <family val="1"/>
        <charset val="2"/>
      </rPr>
      <t>q</t>
    </r>
    <r>
      <rPr>
        <vertAlign val="subscript"/>
        <sz val="11"/>
        <rFont val="Calibri"/>
        <family val="2"/>
        <scheme val="minor"/>
      </rPr>
      <t>2</t>
    </r>
    <r>
      <rPr>
        <sz val="11"/>
        <rFont val="Calibri"/>
        <family val="2"/>
        <scheme val="minor"/>
      </rPr>
      <t>-</t>
    </r>
    <r>
      <rPr>
        <sz val="11"/>
        <rFont val="Symbol"/>
        <family val="1"/>
        <charset val="2"/>
      </rPr>
      <t>q</t>
    </r>
    <r>
      <rPr>
        <vertAlign val="subscript"/>
        <sz val="11"/>
        <rFont val="Calibri"/>
        <family val="2"/>
        <scheme val="minor"/>
      </rPr>
      <t>3</t>
    </r>
    <r>
      <rPr>
        <sz val="11"/>
        <rFont val="Calibri"/>
        <family val="2"/>
        <scheme val="minor"/>
      </rPr>
      <t>&lt;1</t>
    </r>
  </si>
  <si>
    <t>Residual SSE</t>
  </si>
  <si>
    <r>
      <t xml:space="preserve">MA(3) </t>
    </r>
    <r>
      <rPr>
        <sz val="11"/>
        <rFont val="Symbol"/>
        <family val="1"/>
        <charset val="2"/>
      </rPr>
      <t>q</t>
    </r>
    <r>
      <rPr>
        <vertAlign val="subscript"/>
        <sz val="11"/>
        <rFont val="Calibri"/>
        <family val="2"/>
        <scheme val="minor"/>
      </rPr>
      <t>3</t>
    </r>
    <r>
      <rPr>
        <sz val="11"/>
        <rFont val="Calibri"/>
        <family val="2"/>
        <scheme val="minor"/>
      </rPr>
      <t>(</t>
    </r>
    <r>
      <rPr>
        <sz val="11"/>
        <rFont val="Symbol"/>
        <family val="1"/>
        <charset val="2"/>
      </rPr>
      <t>q</t>
    </r>
    <r>
      <rPr>
        <vertAlign val="subscript"/>
        <sz val="11"/>
        <rFont val="Calibri"/>
        <family val="2"/>
        <scheme val="minor"/>
      </rPr>
      <t>3</t>
    </r>
    <r>
      <rPr>
        <sz val="11"/>
        <rFont val="Calibri"/>
        <family val="2"/>
        <scheme val="minor"/>
      </rPr>
      <t>-</t>
    </r>
    <r>
      <rPr>
        <sz val="11"/>
        <rFont val="Symbol"/>
        <family val="1"/>
        <charset val="2"/>
      </rPr>
      <t>q</t>
    </r>
    <r>
      <rPr>
        <vertAlign val="subscript"/>
        <sz val="11"/>
        <rFont val="Calibri"/>
        <family val="2"/>
        <scheme val="minor"/>
      </rPr>
      <t>1</t>
    </r>
    <r>
      <rPr>
        <sz val="11"/>
        <rFont val="Calibri"/>
        <family val="2"/>
        <scheme val="minor"/>
      </rPr>
      <t>)-</t>
    </r>
    <r>
      <rPr>
        <sz val="11"/>
        <rFont val="Symbol"/>
        <family val="1"/>
        <charset val="2"/>
      </rPr>
      <t>q</t>
    </r>
    <r>
      <rPr>
        <vertAlign val="subscript"/>
        <sz val="11"/>
        <rFont val="Calibri"/>
        <family val="2"/>
        <scheme val="minor"/>
      </rPr>
      <t>2</t>
    </r>
    <r>
      <rPr>
        <sz val="11"/>
        <rFont val="Calibri"/>
        <family val="2"/>
        <scheme val="minor"/>
      </rPr>
      <t>&lt;1</t>
    </r>
  </si>
  <si>
    <t>Residual SEE</t>
  </si>
  <si>
    <t>Residual MSE</t>
  </si>
  <si>
    <t>Durbin-Watson</t>
  </si>
  <si>
    <r>
      <t xml:space="preserve">Rules for use of </t>
    </r>
    <r>
      <rPr>
        <b/>
        <u/>
        <sz val="11"/>
        <color theme="1"/>
        <rFont val="Symbol"/>
        <family val="1"/>
        <charset val="2"/>
      </rPr>
      <t>d</t>
    </r>
    <r>
      <rPr>
        <b/>
        <u/>
        <sz val="11"/>
        <color theme="1"/>
        <rFont val="Calibri"/>
        <family val="2"/>
        <scheme val="minor"/>
      </rPr>
      <t>:</t>
    </r>
  </si>
  <si>
    <t>Use if:</t>
  </si>
  <si>
    <t>No need to use if:</t>
  </si>
  <si>
    <t>1. Stationary data, but with large mean</t>
  </si>
  <si>
    <t>1. Nonstationary data</t>
  </si>
  <si>
    <r>
      <t xml:space="preserve">2. No AR(p) component, but in this case </t>
    </r>
    <r>
      <rPr>
        <sz val="11"/>
        <color theme="1"/>
        <rFont val="Symbol"/>
        <family val="1"/>
        <charset val="2"/>
      </rPr>
      <t>d=m</t>
    </r>
  </si>
  <si>
    <t>2. Twice differenced data</t>
  </si>
  <si>
    <t>3. AR(p) component present</t>
  </si>
  <si>
    <r>
      <t xml:space="preserve">3. Stationary data with </t>
    </r>
    <r>
      <rPr>
        <b/>
        <sz val="11"/>
        <color theme="1"/>
        <rFont val="Calibri"/>
        <family val="2"/>
        <scheme val="minor"/>
      </rPr>
      <t>zero</t>
    </r>
    <r>
      <rPr>
        <sz val="11"/>
        <color theme="1"/>
        <rFont val="Calibri"/>
        <family val="2"/>
        <scheme val="minor"/>
      </rPr>
      <t xml:space="preserve"> mean</t>
    </r>
  </si>
  <si>
    <t>AR(p)</t>
  </si>
  <si>
    <t>MA(q)</t>
  </si>
  <si>
    <r>
      <t>ŷ</t>
    </r>
    <r>
      <rPr>
        <b/>
        <vertAlign val="subscript"/>
        <sz val="11"/>
        <color theme="1"/>
        <rFont val="Calibri"/>
        <family val="2"/>
      </rPr>
      <t>t</t>
    </r>
  </si>
  <si>
    <r>
      <t>e</t>
    </r>
    <r>
      <rPr>
        <b/>
        <vertAlign val="subscript"/>
        <sz val="11"/>
        <rFont val="Calibri"/>
        <family val="2"/>
        <scheme val="minor"/>
      </rPr>
      <t>t</t>
    </r>
  </si>
  <si>
    <t>Period</t>
  </si>
  <si>
    <r>
      <t>z</t>
    </r>
    <r>
      <rPr>
        <b/>
        <vertAlign val="subscript"/>
        <sz val="11"/>
        <rFont val="Calibri"/>
        <family val="2"/>
        <scheme val="minor"/>
      </rPr>
      <t>t</t>
    </r>
    <r>
      <rPr>
        <b/>
        <sz val="11"/>
        <rFont val="Calibri"/>
        <family val="2"/>
        <scheme val="minor"/>
      </rPr>
      <t>=y</t>
    </r>
    <r>
      <rPr>
        <b/>
        <vertAlign val="subscript"/>
        <sz val="11"/>
        <rFont val="Calibri"/>
        <family val="2"/>
        <scheme val="minor"/>
      </rPr>
      <t>t</t>
    </r>
    <r>
      <rPr>
        <b/>
        <sz val="11"/>
        <rFont val="Calibri"/>
        <family val="2"/>
        <scheme val="minor"/>
      </rPr>
      <t>-</t>
    </r>
    <r>
      <rPr>
        <b/>
        <sz val="11"/>
        <rFont val="Symbol"/>
        <family val="1"/>
        <charset val="2"/>
      </rPr>
      <t>m</t>
    </r>
  </si>
  <si>
    <r>
      <t>ẑ</t>
    </r>
    <r>
      <rPr>
        <b/>
        <vertAlign val="subscript"/>
        <sz val="11"/>
        <color theme="1"/>
        <rFont val="Calibri"/>
        <family val="2"/>
      </rPr>
      <t>t</t>
    </r>
  </si>
  <si>
    <r>
      <t xml:space="preserve">AR(3) </t>
    </r>
    <r>
      <rPr>
        <sz val="11"/>
        <rFont val="Symbol"/>
        <family val="1"/>
        <charset val="2"/>
      </rPr>
      <t>f</t>
    </r>
    <r>
      <rPr>
        <vertAlign val="subscript"/>
        <sz val="11"/>
        <rFont val="Calibri"/>
        <family val="2"/>
        <scheme val="minor"/>
      </rPr>
      <t>3</t>
    </r>
    <r>
      <rPr>
        <sz val="11"/>
        <rFont val="Calibri"/>
        <family val="2"/>
        <scheme val="minor"/>
      </rPr>
      <t>(</t>
    </r>
    <r>
      <rPr>
        <sz val="11"/>
        <rFont val="Symbol"/>
        <family val="1"/>
        <charset val="2"/>
      </rPr>
      <t>f</t>
    </r>
    <r>
      <rPr>
        <vertAlign val="subscript"/>
        <sz val="11"/>
        <rFont val="Calibri"/>
        <family val="2"/>
        <scheme val="minor"/>
      </rPr>
      <t>3</t>
    </r>
    <r>
      <rPr>
        <sz val="11"/>
        <rFont val="Calibri"/>
        <family val="2"/>
        <scheme val="minor"/>
      </rPr>
      <t>-</t>
    </r>
    <r>
      <rPr>
        <sz val="11"/>
        <rFont val="Symbol"/>
        <family val="1"/>
        <charset val="2"/>
      </rPr>
      <t>f</t>
    </r>
    <r>
      <rPr>
        <vertAlign val="subscript"/>
        <sz val="11"/>
        <rFont val="Calibri"/>
        <family val="2"/>
        <scheme val="minor"/>
      </rPr>
      <t>1</t>
    </r>
    <r>
      <rPr>
        <sz val="11"/>
        <rFont val="Calibri"/>
        <family val="2"/>
        <scheme val="minor"/>
      </rPr>
      <t>)-</t>
    </r>
    <r>
      <rPr>
        <sz val="11"/>
        <rFont val="Symbol"/>
        <family val="1"/>
        <charset val="2"/>
      </rPr>
      <t>f</t>
    </r>
    <r>
      <rPr>
        <vertAlign val="subscript"/>
        <sz val="11"/>
        <rFont val="Calibri"/>
        <family val="2"/>
        <scheme val="minor"/>
      </rPr>
      <t>2</t>
    </r>
    <r>
      <rPr>
        <sz val="11"/>
        <rFont val="Calibri"/>
        <family val="2"/>
        <scheme val="minor"/>
      </rPr>
      <t>&lt;1</t>
    </r>
  </si>
  <si>
    <t>AR(1,1)</t>
  </si>
  <si>
    <t>f</t>
  </si>
  <si>
    <t>θ</t>
  </si>
  <si>
    <t>AR(3,3)</t>
  </si>
  <si>
    <t>AR(2,2)</t>
  </si>
  <si>
    <t>AR(2,1)</t>
  </si>
  <si>
    <t>AR(3,1)</t>
  </si>
  <si>
    <t>AR(1,2)</t>
  </si>
  <si>
    <t>AR(3,2)</t>
  </si>
  <si>
    <t>AR(2,3)</t>
  </si>
  <si>
    <t>AR(1,3)</t>
  </si>
  <si>
    <t>at</t>
  </si>
  <si>
    <r>
      <t xml:space="preserve">Copy to cells F7:G9 the appropriate values of </t>
    </r>
    <r>
      <rPr>
        <sz val="11"/>
        <rFont val="Symbol"/>
        <family val="1"/>
        <charset val="2"/>
      </rPr>
      <t>f</t>
    </r>
    <r>
      <rPr>
        <sz val="8.8000000000000007"/>
        <rFont val="Calibri"/>
        <family val="1"/>
        <charset val="2"/>
      </rPr>
      <t xml:space="preserve"> </t>
    </r>
    <r>
      <rPr>
        <sz val="11"/>
        <rFont val="Calibri"/>
        <family val="2"/>
      </rPr>
      <t>and</t>
    </r>
    <r>
      <rPr>
        <sz val="8.8000000000000007"/>
        <rFont val="Calibri"/>
        <family val="1"/>
        <charset val="2"/>
      </rPr>
      <t xml:space="preserve"> </t>
    </r>
    <r>
      <rPr>
        <sz val="8.8000000000000007"/>
        <rFont val="Calibri"/>
        <family val="2"/>
      </rPr>
      <t xml:space="preserve">θ </t>
    </r>
    <r>
      <rPr>
        <sz val="11"/>
        <rFont val="Calibri"/>
        <family val="2"/>
      </rPr>
      <t>from</t>
    </r>
  </si>
  <si>
    <t>NOTE:</t>
  </si>
  <si>
    <r>
      <t xml:space="preserve">Fitted Series </t>
    </r>
    <r>
      <rPr>
        <sz val="11"/>
        <rFont val="Calibri"/>
        <family val="2"/>
      </rPr>
      <t>ẑ</t>
    </r>
    <r>
      <rPr>
        <sz val="11"/>
        <rFont val="Calibri"/>
        <family val="2"/>
        <scheme val="minor"/>
      </rPr>
      <t xml:space="preserve"> Mean </t>
    </r>
    <r>
      <rPr>
        <sz val="11"/>
        <rFont val="Calibri"/>
        <family val="2"/>
      </rPr>
      <t>μ</t>
    </r>
  </si>
  <si>
    <r>
      <t xml:space="preserve">Fitted Series  </t>
    </r>
    <r>
      <rPr>
        <sz val="11"/>
        <rFont val="Calibri"/>
        <family val="2"/>
      </rPr>
      <t>ẑ</t>
    </r>
    <r>
      <rPr>
        <sz val="11"/>
        <rFont val="Calibri"/>
        <family val="2"/>
        <scheme val="minor"/>
      </rPr>
      <t xml:space="preserve"> St. Dev. </t>
    </r>
    <r>
      <rPr>
        <sz val="11"/>
        <rFont val="Calibri"/>
        <family val="2"/>
      </rPr>
      <t>σ</t>
    </r>
  </si>
  <si>
    <t>R-Squared</t>
  </si>
  <si>
    <t>the fitting will not work.</t>
  </si>
  <si>
    <r>
      <rPr>
        <b/>
        <sz val="11"/>
        <color theme="1"/>
        <rFont val="Calibri"/>
        <family val="2"/>
        <scheme val="minor"/>
      </rPr>
      <t>Note:</t>
    </r>
    <r>
      <rPr>
        <sz val="11"/>
        <color theme="1"/>
        <rFont val="Calibri"/>
        <family val="2"/>
        <scheme val="minor"/>
      </rPr>
      <t xml:space="preserve"> For forecasting select </t>
    </r>
    <r>
      <rPr>
        <sz val="11"/>
        <color theme="1"/>
        <rFont val="Symbol"/>
        <family val="1"/>
        <charset val="2"/>
      </rPr>
      <t>f</t>
    </r>
    <r>
      <rPr>
        <sz val="11"/>
        <color theme="1"/>
        <rFont val="Calibri"/>
        <family val="2"/>
      </rPr>
      <t xml:space="preserve"> and θ</t>
    </r>
    <r>
      <rPr>
        <sz val="11"/>
        <color theme="1"/>
        <rFont val="Calibri"/>
        <family val="2"/>
        <scheme val="minor"/>
      </rPr>
      <t xml:space="preserve"> from the table N3:U19 that is matching your ARMA(p,q) model</t>
    </r>
  </si>
  <si>
    <r>
      <t xml:space="preserve">the cells in column B in Sheet "2. Phi'!" for </t>
    </r>
    <r>
      <rPr>
        <sz val="11"/>
        <rFont val="Symbol"/>
        <family val="1"/>
        <charset val="2"/>
      </rPr>
      <t>f</t>
    </r>
    <r>
      <rPr>
        <sz val="11"/>
        <rFont val="Calibri"/>
        <family val="1"/>
        <charset val="2"/>
        <scheme val="minor"/>
      </rPr>
      <t xml:space="preserve"> and column B</t>
    </r>
  </si>
  <si>
    <t>Take the first order seasonal differences.</t>
  </si>
  <si>
    <t>To eliminate seasonality:</t>
  </si>
  <si>
    <t>Take the first differences. Exceptionally, if the the data set follows an exponential trend, take second differences.</t>
  </si>
  <si>
    <t>To eliminate the trend:</t>
  </si>
  <si>
    <t>Take the square root of the data before you apply the method.</t>
  </si>
  <si>
    <t>To stabilize variance:</t>
  </si>
  <si>
    <t>How to use this template?</t>
  </si>
  <si>
    <t>1. Insert your data in Sheet "1. Autocorr" from cell B3 downwards. The first observation is the oldest data point. If data is stationary, use the original data set, as well as the ACF/PACF from columns E and J.</t>
  </si>
  <si>
    <t>If data needs differencing, then use the differenced series from column P and the ACF/PACF from columns S and Y.</t>
  </si>
  <si>
    <r>
      <t xml:space="preserve">Use the Solver function as described on Sheet "1. Autocorr". This will calculate the values of </t>
    </r>
    <r>
      <rPr>
        <sz val="11"/>
        <color theme="1"/>
        <rFont val="Symbol"/>
        <family val="1"/>
        <charset val="2"/>
      </rPr>
      <t>f</t>
    </r>
    <r>
      <rPr>
        <sz val="11"/>
        <color theme="1"/>
        <rFont val="Calibri"/>
        <family val="2"/>
        <scheme val="minor"/>
      </rPr>
      <t>. Depending which model you used, this will be inserted in B8:B10, B19:B21 or B31:B33.</t>
    </r>
  </si>
  <si>
    <r>
      <t xml:space="preserve">3. The values of </t>
    </r>
    <r>
      <rPr>
        <sz val="11"/>
        <color theme="1"/>
        <rFont val="Symbol"/>
        <family val="1"/>
        <charset val="2"/>
      </rPr>
      <t>f</t>
    </r>
    <r>
      <rPr>
        <sz val="11"/>
        <color theme="1"/>
        <rFont val="Calibri"/>
        <family val="2"/>
      </rPr>
      <t xml:space="preserve"> are copied to Sheet "3. Covar" and the values of c</t>
    </r>
    <r>
      <rPr>
        <vertAlign val="subscript"/>
        <sz val="11"/>
        <color theme="1"/>
        <rFont val="Calibri"/>
        <family val="2"/>
      </rPr>
      <t>k</t>
    </r>
    <r>
      <rPr>
        <sz val="11"/>
        <color theme="1"/>
        <rFont val="Calibri"/>
        <family val="2"/>
      </rPr>
      <t>' are automatically calculated.</t>
    </r>
  </si>
  <si>
    <r>
      <t>4. The values of c</t>
    </r>
    <r>
      <rPr>
        <vertAlign val="subscript"/>
        <sz val="11"/>
        <color theme="1"/>
        <rFont val="Calibri"/>
        <family val="2"/>
        <scheme val="minor"/>
      </rPr>
      <t>k</t>
    </r>
    <r>
      <rPr>
        <sz val="11"/>
        <color theme="1"/>
        <rFont val="Calibri"/>
        <family val="2"/>
        <scheme val="minor"/>
      </rPr>
      <t>' are copied to Sheet "Sigma &amp; Theta".</t>
    </r>
  </si>
  <si>
    <t>Use Solver function as described in Sheet "Sigma &amp; Theta". Different models require different objective cells and constraint cells.</t>
  </si>
  <si>
    <r>
      <t xml:space="preserve">5. Copy to cells F7:G9 in Sheet "5. Model" the appropriate values of </t>
    </r>
    <r>
      <rPr>
        <sz val="11"/>
        <rFont val="Symbol"/>
        <family val="1"/>
        <charset val="2"/>
      </rPr>
      <t>f</t>
    </r>
    <r>
      <rPr>
        <sz val="8.8000000000000007"/>
        <rFont val="Calibri"/>
        <family val="1"/>
        <charset val="2"/>
      </rPr>
      <t xml:space="preserve"> </t>
    </r>
    <r>
      <rPr>
        <sz val="11"/>
        <rFont val="Calibri"/>
        <family val="2"/>
      </rPr>
      <t>and</t>
    </r>
    <r>
      <rPr>
        <sz val="8.8000000000000007"/>
        <rFont val="Calibri"/>
        <family val="1"/>
        <charset val="2"/>
      </rPr>
      <t xml:space="preserve"> </t>
    </r>
    <r>
      <rPr>
        <sz val="8.8000000000000007"/>
        <rFont val="Calibri"/>
        <family val="2"/>
      </rPr>
      <t xml:space="preserve">θ </t>
    </r>
    <r>
      <rPr>
        <sz val="11"/>
        <rFont val="Calibri"/>
        <family val="2"/>
      </rPr>
      <t xml:space="preserve">from the cells in column B in Sheet "2. Phi'!" for </t>
    </r>
    <r>
      <rPr>
        <sz val="11"/>
        <rFont val="Symbol"/>
        <family val="1"/>
        <charset val="2"/>
      </rPr>
      <t>f</t>
    </r>
    <r>
      <rPr>
        <sz val="11"/>
        <rFont val="Calibri"/>
        <family val="2"/>
      </rPr>
      <t xml:space="preserve"> and column B in Sheet "3.Covar!" for θ.</t>
    </r>
  </si>
  <si>
    <t>6. Residuals are copied automatically from Sheet "5. Model" to Sheet "6. Residuals".</t>
  </si>
  <si>
    <t>ACF/PACF are automatically calculated.</t>
  </si>
  <si>
    <r>
      <t xml:space="preserve">7. The values of </t>
    </r>
    <r>
      <rPr>
        <sz val="11"/>
        <color theme="1"/>
        <rFont val="Symbol"/>
        <family val="1"/>
        <charset val="2"/>
      </rPr>
      <t>f</t>
    </r>
    <r>
      <rPr>
        <sz val="11"/>
        <color theme="1"/>
        <rFont val="Calibri"/>
        <family val="2"/>
        <scheme val="minor"/>
      </rPr>
      <t xml:space="preserve"> and θ are automatically copied from previous sheets into the table N3:U19in Sheet "7. Forecast".</t>
    </r>
  </si>
  <si>
    <r>
      <t xml:space="preserve">To produce forecasts, select </t>
    </r>
    <r>
      <rPr>
        <sz val="11"/>
        <color theme="1"/>
        <rFont val="Symbol"/>
        <family val="1"/>
        <charset val="2"/>
      </rPr>
      <t>f</t>
    </r>
    <r>
      <rPr>
        <sz val="11"/>
        <color theme="1"/>
        <rFont val="Calibri"/>
        <family val="2"/>
        <scheme val="minor"/>
      </rPr>
      <t xml:space="preserve"> and θ from the table N3:U19 that is matching your ARMA(p,q) model.</t>
    </r>
  </si>
  <si>
    <r>
      <t xml:space="preserve">In order to apply B-J method, the data set </t>
    </r>
    <r>
      <rPr>
        <b/>
        <u/>
        <sz val="18"/>
        <color theme="1"/>
        <rFont val="Calibri"/>
        <family val="2"/>
        <scheme val="minor"/>
      </rPr>
      <t>must</t>
    </r>
    <r>
      <rPr>
        <sz val="18"/>
        <color theme="1"/>
        <rFont val="Calibri"/>
        <family val="2"/>
        <scheme val="minor"/>
      </rPr>
      <t xml:space="preserve"> be stationary. </t>
    </r>
    <r>
      <rPr>
        <sz val="12"/>
        <color theme="1"/>
        <rFont val="Calibri"/>
        <family val="2"/>
        <scheme val="minor"/>
      </rPr>
      <t>This means you need to stabilize the variance, eliminate the trend and eliminate any seasonality, if there is any.</t>
    </r>
  </si>
  <si>
    <r>
      <t>2. If you used original stationary time series, then the values for c</t>
    </r>
    <r>
      <rPr>
        <vertAlign val="subscript"/>
        <sz val="11"/>
        <color theme="1"/>
        <rFont val="Calibri"/>
        <family val="2"/>
        <scheme val="minor"/>
      </rPr>
      <t>k</t>
    </r>
    <r>
      <rPr>
        <sz val="11"/>
        <color theme="1"/>
        <rFont val="Calibri"/>
        <family val="2"/>
        <scheme val="minor"/>
      </rPr>
      <t xml:space="preserve"> are copied from the column D in Sheet "1.Autocorr!" to Sheet "2. Phi". If you used differenced time series, copy the values of c</t>
    </r>
    <r>
      <rPr>
        <vertAlign val="subscript"/>
        <sz val="11"/>
        <color theme="1"/>
        <rFont val="Calibri"/>
        <family val="2"/>
        <scheme val="minor"/>
      </rPr>
      <t>k</t>
    </r>
    <r>
      <rPr>
        <sz val="11"/>
        <color theme="1"/>
        <rFont val="Calibri"/>
        <family val="2"/>
        <scheme val="minor"/>
      </rPr>
      <t xml:space="preserve"> from column N from Sheet "1.Autocorr!" to Sheet "2. Phi".</t>
    </r>
  </si>
  <si>
    <t>Important: Put in cells F1:G1 the number of p and q parameters from from your selected model. Otherwise, the fitting will not work.</t>
  </si>
  <si>
    <r>
      <t>Currently the values for c</t>
    </r>
    <r>
      <rPr>
        <vertAlign val="subscript"/>
        <sz val="11"/>
        <color theme="1"/>
        <rFont val="Calibri"/>
        <family val="2"/>
        <scheme val="minor"/>
      </rPr>
      <t>k</t>
    </r>
    <r>
      <rPr>
        <sz val="11"/>
        <color theme="1"/>
        <rFont val="Calibri"/>
        <family val="2"/>
        <scheme val="minor"/>
      </rPr>
      <t xml:space="preserve"> are copied from the column D in Sheet "1.Autocorr!". If you used differenced time series, copy the values of c</t>
    </r>
    <r>
      <rPr>
        <vertAlign val="subscript"/>
        <sz val="11"/>
        <color theme="1"/>
        <rFont val="Calibri"/>
        <family val="2"/>
        <scheme val="minor"/>
      </rPr>
      <t>k</t>
    </r>
    <r>
      <rPr>
        <sz val="11"/>
        <color theme="1"/>
        <rFont val="Calibri"/>
        <family val="2"/>
        <scheme val="minor"/>
      </rPr>
      <t xml:space="preserve"> from column N.</t>
    </r>
  </si>
  <si>
    <t>of p and q parameters from from your selected model. Otherwise,</t>
  </si>
  <si>
    <t>Assumptions before you use the template:</t>
  </si>
  <si>
    <t>The variance has been stabilized and you do not have to do any seasonal differencing.</t>
  </si>
  <si>
    <r>
      <t xml:space="preserve">If you data set is longer/shorter than 49 observations as in this template, </t>
    </r>
    <r>
      <rPr>
        <b/>
        <sz val="11"/>
        <color theme="1"/>
        <rFont val="Calibri"/>
        <family val="2"/>
        <scheme val="minor"/>
      </rPr>
      <t>do not forget</t>
    </r>
    <r>
      <rPr>
        <sz val="11"/>
        <color theme="1"/>
        <rFont val="Calibri"/>
        <family val="2"/>
        <scheme val="minor"/>
      </rPr>
      <t xml:space="preserve"> that you will need to change the ranges in the relevant formulae.</t>
    </r>
  </si>
  <si>
    <t>2. Set Objective (C11, E11 or H11) to have value of 0</t>
  </si>
  <si>
    <t>3. By changing cells B7:B9</t>
  </si>
  <si>
    <t>4. Subject to conditions that C5=0, E5:E6=0 or G5:G7 are equal to 0</t>
  </si>
  <si>
    <r>
      <t xml:space="preserve">Equations </t>
    </r>
    <r>
      <rPr>
        <b/>
        <u/>
        <sz val="11"/>
        <color theme="1"/>
        <rFont val="Calibri"/>
        <family val="2"/>
        <scheme val="minor"/>
      </rPr>
      <t>ARMA(1,1)</t>
    </r>
  </si>
  <si>
    <r>
      <t xml:space="preserve">Equations </t>
    </r>
    <r>
      <rPr>
        <b/>
        <u/>
        <sz val="11"/>
        <color theme="1"/>
        <rFont val="Calibri"/>
        <family val="2"/>
        <scheme val="minor"/>
      </rPr>
      <t>ARMA(2,1)</t>
    </r>
  </si>
  <si>
    <r>
      <t xml:space="preserve">Equations </t>
    </r>
    <r>
      <rPr>
        <b/>
        <u/>
        <sz val="11"/>
        <color theme="1"/>
        <rFont val="Calibri"/>
        <family val="2"/>
        <scheme val="minor"/>
      </rPr>
      <t>ARMA(3,1)</t>
    </r>
  </si>
  <si>
    <r>
      <t xml:space="preserve">Equations </t>
    </r>
    <r>
      <rPr>
        <b/>
        <u/>
        <sz val="11"/>
        <color theme="1"/>
        <rFont val="Calibri"/>
        <family val="2"/>
        <scheme val="minor"/>
      </rPr>
      <t>ARMA(1,2)</t>
    </r>
  </si>
  <si>
    <r>
      <t xml:space="preserve">Equations </t>
    </r>
    <r>
      <rPr>
        <b/>
        <u/>
        <sz val="11"/>
        <color theme="1"/>
        <rFont val="Calibri"/>
        <family val="2"/>
        <scheme val="minor"/>
      </rPr>
      <t>ARMA(2,2)</t>
    </r>
  </si>
  <si>
    <r>
      <t xml:space="preserve">Equations </t>
    </r>
    <r>
      <rPr>
        <b/>
        <u/>
        <sz val="11"/>
        <color theme="1"/>
        <rFont val="Calibri"/>
        <family val="2"/>
        <scheme val="minor"/>
      </rPr>
      <t>ARMA(2,3)</t>
    </r>
  </si>
  <si>
    <r>
      <t xml:space="preserve">Equations </t>
    </r>
    <r>
      <rPr>
        <b/>
        <u/>
        <sz val="11"/>
        <color theme="1"/>
        <rFont val="Calibri"/>
        <family val="2"/>
        <scheme val="minor"/>
      </rPr>
      <t>ARMA(3,2)</t>
    </r>
  </si>
  <si>
    <r>
      <t xml:space="preserve">Equations </t>
    </r>
    <r>
      <rPr>
        <b/>
        <u/>
        <sz val="11"/>
        <color theme="1"/>
        <rFont val="Calibri"/>
        <family val="2"/>
        <scheme val="minor"/>
      </rPr>
      <t>ARMA(3,3)</t>
    </r>
  </si>
  <si>
    <t>calcs are all made automatically.</t>
  </si>
  <si>
    <t>1. Put nominally small value (0.001) in cells B4:B5 (or B11:B13 or B20:B23)</t>
  </si>
  <si>
    <t>Number of</t>
  </si>
  <si>
    <t>=SE</t>
  </si>
  <si>
    <t>Lag</t>
  </si>
  <si>
    <t>ACF</t>
  </si>
  <si>
    <t>PACF</t>
  </si>
  <si>
    <t>Prob</t>
  </si>
  <si>
    <t>t-value</t>
  </si>
  <si>
    <t>Prob for t</t>
  </si>
  <si>
    <t>Decision</t>
  </si>
  <si>
    <t>observations n:</t>
  </si>
  <si>
    <t>Number of ACF k:</t>
  </si>
  <si>
    <t>p=</t>
  </si>
  <si>
    <t>q=</t>
  </si>
  <si>
    <t>df=</t>
  </si>
  <si>
    <t>Differencing d:</t>
  </si>
  <si>
    <t>Q=</t>
  </si>
  <si>
    <r>
      <rPr>
        <b/>
        <sz val="11"/>
        <rFont val="Symbol"/>
        <family val="1"/>
        <charset val="2"/>
      </rPr>
      <t>c</t>
    </r>
    <r>
      <rPr>
        <b/>
        <vertAlign val="superscript"/>
        <sz val="11"/>
        <rFont val="Calibri"/>
        <family val="2"/>
        <scheme val="minor"/>
      </rPr>
      <t>2</t>
    </r>
    <r>
      <rPr>
        <b/>
        <sz val="11"/>
        <rFont val="Calibri"/>
        <family val="2"/>
        <scheme val="minor"/>
      </rPr>
      <t>prob.=</t>
    </r>
  </si>
  <si>
    <r>
      <t>Fitting formula</t>
    </r>
    <r>
      <rPr>
        <sz val="12"/>
        <color theme="1"/>
        <rFont val="Times New Roman"/>
        <family val="1"/>
      </rPr>
      <t xml:space="preserve"> (i.e. forecasting for </t>
    </r>
    <r>
      <rPr>
        <i/>
        <sz val="12"/>
        <color theme="1"/>
        <rFont val="Times New Roman"/>
        <family val="1"/>
      </rPr>
      <t>l</t>
    </r>
    <r>
      <rPr>
        <sz val="12"/>
        <color theme="1"/>
        <rFont val="Times New Roman"/>
        <family val="1"/>
      </rPr>
      <t>=1)</t>
    </r>
  </si>
  <si>
    <r>
      <t>NOTE:</t>
    </r>
    <r>
      <rPr>
        <sz val="12"/>
        <color theme="1"/>
        <rFont val="Times New Roman"/>
        <family val="1"/>
      </rPr>
      <t xml:space="preserve"> </t>
    </r>
  </si>
  <si>
    <r>
      <t xml:space="preserve">2. Once you pasted it, change the reference to the correct </t>
    </r>
    <r>
      <rPr>
        <sz val="11"/>
        <color theme="1"/>
        <rFont val="Symbol"/>
        <family val="1"/>
        <charset val="2"/>
      </rPr>
      <t xml:space="preserve">f </t>
    </r>
    <r>
      <rPr>
        <sz val="11"/>
        <color theme="1"/>
        <rFont val="Calibri"/>
        <family val="2"/>
        <scheme val="minor"/>
      </rPr>
      <t>and</t>
    </r>
    <r>
      <rPr>
        <sz val="11"/>
        <color theme="1"/>
        <rFont val="Symbol"/>
        <family val="1"/>
        <charset val="2"/>
      </rPr>
      <t xml:space="preserve"> </t>
    </r>
    <r>
      <rPr>
        <sz val="11"/>
        <color theme="1"/>
        <rFont val="Calibri"/>
        <family val="2"/>
      </rPr>
      <t>θ from the table N3:U19</t>
    </r>
  </si>
  <si>
    <t>3. And finally, remove the apostrophe sign before the equation ('=…), then Copy/Paste down to the last observation</t>
  </si>
  <si>
    <t>Model</t>
  </si>
  <si>
    <t>(1,0,0)</t>
  </si>
  <si>
    <r>
      <t>ŷ</t>
    </r>
    <r>
      <rPr>
        <vertAlign val="subscript"/>
        <sz val="12"/>
        <color theme="1"/>
        <rFont val="Times New Roman"/>
        <family val="1"/>
      </rPr>
      <t>t</t>
    </r>
    <r>
      <rPr>
        <sz val="12"/>
        <color theme="1"/>
        <rFont val="Times New Roman"/>
        <family val="1"/>
      </rPr>
      <t xml:space="preserve">(1) = </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t>
    </r>
    <r>
      <rPr>
        <sz val="12"/>
        <color theme="1"/>
        <rFont val="Times New Roman"/>
        <family val="1"/>
      </rPr>
      <t xml:space="preserve"> + ȳ(1-</t>
    </r>
    <r>
      <rPr>
        <sz val="12"/>
        <color theme="1"/>
        <rFont val="Symbol"/>
        <family val="1"/>
        <charset val="2"/>
      </rPr>
      <t>f</t>
    </r>
    <r>
      <rPr>
        <vertAlign val="subscript"/>
        <sz val="12"/>
        <color theme="1"/>
        <rFont val="Times New Roman"/>
        <family val="1"/>
      </rPr>
      <t>1</t>
    </r>
    <r>
      <rPr>
        <sz val="12"/>
        <color theme="1"/>
        <rFont val="Times New Roman"/>
        <family val="1"/>
      </rPr>
      <t>)</t>
    </r>
  </si>
  <si>
    <t>(2,0,0)</t>
  </si>
  <si>
    <r>
      <t>ŷ</t>
    </r>
    <r>
      <rPr>
        <vertAlign val="subscript"/>
        <sz val="12"/>
        <color theme="1"/>
        <rFont val="Times New Roman"/>
        <family val="1"/>
      </rPr>
      <t>t</t>
    </r>
    <r>
      <rPr>
        <sz val="12"/>
        <color theme="1"/>
        <rFont val="Times New Roman"/>
        <family val="1"/>
      </rPr>
      <t xml:space="preserve">(1) = </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y</t>
    </r>
    <r>
      <rPr>
        <vertAlign val="subscript"/>
        <sz val="12"/>
        <color theme="1"/>
        <rFont val="Times New Roman"/>
        <family val="1"/>
      </rPr>
      <t>t-1</t>
    </r>
    <r>
      <rPr>
        <sz val="12"/>
        <color theme="1"/>
        <rFont val="Times New Roman"/>
        <family val="1"/>
      </rPr>
      <t xml:space="preserve"> + ȳ(1-</t>
    </r>
    <r>
      <rPr>
        <sz val="12"/>
        <color theme="1"/>
        <rFont val="Symbol"/>
        <family val="1"/>
        <charset val="2"/>
      </rPr>
      <t>f</t>
    </r>
    <r>
      <rPr>
        <vertAlign val="subscript"/>
        <sz val="12"/>
        <color theme="1"/>
        <rFont val="Times New Roman"/>
        <family val="1"/>
      </rPr>
      <t>1</t>
    </r>
    <r>
      <rPr>
        <sz val="12"/>
        <color theme="1"/>
        <rFont val="Times New Roman"/>
        <family val="1"/>
      </rPr>
      <t>-</t>
    </r>
    <r>
      <rPr>
        <sz val="12"/>
        <color theme="1"/>
        <rFont val="Symbol"/>
        <family val="1"/>
        <charset val="2"/>
      </rPr>
      <t>f</t>
    </r>
    <r>
      <rPr>
        <vertAlign val="subscript"/>
        <sz val="12"/>
        <color theme="1"/>
        <rFont val="Times New Roman"/>
        <family val="1"/>
      </rPr>
      <t>2</t>
    </r>
    <r>
      <rPr>
        <sz val="12"/>
        <color theme="1"/>
        <rFont val="Times New Roman"/>
        <family val="1"/>
      </rPr>
      <t>)</t>
    </r>
  </si>
  <si>
    <t>(0,0,1)</t>
  </si>
  <si>
    <r>
      <t>ŷ</t>
    </r>
    <r>
      <rPr>
        <vertAlign val="subscript"/>
        <sz val="12"/>
        <color theme="1"/>
        <rFont val="Times New Roman"/>
        <family val="1"/>
      </rPr>
      <t>t</t>
    </r>
    <r>
      <rPr>
        <sz val="12"/>
        <color theme="1"/>
        <rFont val="Times New Roman"/>
        <family val="1"/>
      </rPr>
      <t>(1) = -</t>
    </r>
    <r>
      <rPr>
        <sz val="12"/>
        <color theme="1"/>
        <rFont val="Symbol"/>
        <family val="1"/>
        <charset val="2"/>
      </rPr>
      <t>q</t>
    </r>
    <r>
      <rPr>
        <vertAlign val="subscript"/>
        <sz val="12"/>
        <color theme="1"/>
        <rFont val="Times New Roman"/>
        <family val="1"/>
      </rPr>
      <t>1</t>
    </r>
    <r>
      <rPr>
        <sz val="12"/>
        <color theme="1"/>
        <rFont val="Times New Roman"/>
        <family val="1"/>
      </rPr>
      <t>a</t>
    </r>
    <r>
      <rPr>
        <vertAlign val="subscript"/>
        <sz val="12"/>
        <color theme="1"/>
        <rFont val="Times New Roman"/>
        <family val="1"/>
      </rPr>
      <t>t</t>
    </r>
    <r>
      <rPr>
        <sz val="12"/>
        <color theme="1"/>
        <rFont val="Times New Roman"/>
        <family val="1"/>
      </rPr>
      <t xml:space="preserve"> + ȳ  </t>
    </r>
  </si>
  <si>
    <t>(0,0,2)</t>
  </si>
  <si>
    <r>
      <t>ŷ</t>
    </r>
    <r>
      <rPr>
        <vertAlign val="subscript"/>
        <sz val="12"/>
        <color theme="1"/>
        <rFont val="Times New Roman"/>
        <family val="1"/>
      </rPr>
      <t>t</t>
    </r>
    <r>
      <rPr>
        <sz val="12"/>
        <color theme="1"/>
        <rFont val="Times New Roman"/>
        <family val="1"/>
      </rPr>
      <t>(1) = -</t>
    </r>
    <r>
      <rPr>
        <sz val="12"/>
        <color theme="1"/>
        <rFont val="Symbol"/>
        <family val="1"/>
        <charset val="2"/>
      </rPr>
      <t>q</t>
    </r>
    <r>
      <rPr>
        <vertAlign val="subscript"/>
        <sz val="12"/>
        <color theme="1"/>
        <rFont val="Times New Roman"/>
        <family val="1"/>
      </rPr>
      <t>1</t>
    </r>
    <r>
      <rPr>
        <sz val="12"/>
        <color theme="1"/>
        <rFont val="Times New Roman"/>
        <family val="1"/>
      </rPr>
      <t>a</t>
    </r>
    <r>
      <rPr>
        <vertAlign val="subscript"/>
        <sz val="12"/>
        <color theme="1"/>
        <rFont val="Times New Roman"/>
        <family val="1"/>
      </rPr>
      <t>t</t>
    </r>
    <r>
      <rPr>
        <sz val="12"/>
        <color theme="1"/>
        <rFont val="Times New Roman"/>
        <family val="1"/>
      </rPr>
      <t xml:space="preserve"> - </t>
    </r>
    <r>
      <rPr>
        <sz val="12"/>
        <color theme="1"/>
        <rFont val="Symbol"/>
        <family val="1"/>
        <charset val="2"/>
      </rPr>
      <t>q</t>
    </r>
    <r>
      <rPr>
        <vertAlign val="subscript"/>
        <sz val="12"/>
        <color theme="1"/>
        <rFont val="Times New Roman"/>
        <family val="1"/>
      </rPr>
      <t>2</t>
    </r>
    <r>
      <rPr>
        <sz val="12"/>
        <color theme="1"/>
        <rFont val="Times New Roman"/>
        <family val="1"/>
      </rPr>
      <t>a</t>
    </r>
    <r>
      <rPr>
        <vertAlign val="subscript"/>
        <sz val="12"/>
        <color theme="1"/>
        <rFont val="Times New Roman"/>
        <family val="1"/>
      </rPr>
      <t>t-1</t>
    </r>
    <r>
      <rPr>
        <sz val="12"/>
        <color theme="1"/>
        <rFont val="Times New Roman"/>
        <family val="1"/>
      </rPr>
      <t xml:space="preserve"> + ȳ</t>
    </r>
  </si>
  <si>
    <t>(1,0,1)</t>
  </si>
  <si>
    <r>
      <t>ŷ</t>
    </r>
    <r>
      <rPr>
        <vertAlign val="subscript"/>
        <sz val="12"/>
        <color theme="1"/>
        <rFont val="Times New Roman"/>
        <family val="1"/>
      </rPr>
      <t>t</t>
    </r>
    <r>
      <rPr>
        <sz val="12"/>
        <color theme="1"/>
        <rFont val="Times New Roman"/>
        <family val="1"/>
      </rPr>
      <t xml:space="preserve">(1) = </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t>
    </r>
    <r>
      <rPr>
        <sz val="12"/>
        <color theme="1"/>
        <rFont val="Times New Roman"/>
        <family val="1"/>
      </rPr>
      <t xml:space="preserve"> - </t>
    </r>
    <r>
      <rPr>
        <sz val="12"/>
        <color theme="1"/>
        <rFont val="Symbol"/>
        <family val="1"/>
        <charset val="2"/>
      </rPr>
      <t>q</t>
    </r>
    <r>
      <rPr>
        <vertAlign val="subscript"/>
        <sz val="12"/>
        <color theme="1"/>
        <rFont val="Times New Roman"/>
        <family val="1"/>
      </rPr>
      <t>1</t>
    </r>
    <r>
      <rPr>
        <sz val="12"/>
        <color theme="1"/>
        <rFont val="Times New Roman"/>
        <family val="1"/>
      </rPr>
      <t>a</t>
    </r>
    <r>
      <rPr>
        <vertAlign val="subscript"/>
        <sz val="12"/>
        <color theme="1"/>
        <rFont val="Times New Roman"/>
        <family val="1"/>
      </rPr>
      <t>t</t>
    </r>
    <r>
      <rPr>
        <sz val="12"/>
        <color theme="1"/>
        <rFont val="Times New Roman"/>
        <family val="1"/>
      </rPr>
      <t xml:space="preserve"> + ȳ(1-</t>
    </r>
    <r>
      <rPr>
        <sz val="12"/>
        <color theme="1"/>
        <rFont val="Symbol"/>
        <family val="1"/>
        <charset val="2"/>
      </rPr>
      <t>f</t>
    </r>
    <r>
      <rPr>
        <vertAlign val="subscript"/>
        <sz val="12"/>
        <color theme="1"/>
        <rFont val="Times New Roman"/>
        <family val="1"/>
      </rPr>
      <t>1</t>
    </r>
    <r>
      <rPr>
        <sz val="12"/>
        <color theme="1"/>
        <rFont val="Times New Roman"/>
        <family val="1"/>
      </rPr>
      <t>)</t>
    </r>
  </si>
  <si>
    <t>(2,0,2)</t>
  </si>
  <si>
    <r>
      <t>ŷ</t>
    </r>
    <r>
      <rPr>
        <vertAlign val="subscript"/>
        <sz val="12"/>
        <color theme="1"/>
        <rFont val="Times New Roman"/>
        <family val="1"/>
      </rPr>
      <t>t</t>
    </r>
    <r>
      <rPr>
        <sz val="12"/>
        <color theme="1"/>
        <rFont val="Times New Roman"/>
        <family val="1"/>
      </rPr>
      <t xml:space="preserve">(1) = </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y</t>
    </r>
    <r>
      <rPr>
        <vertAlign val="subscript"/>
        <sz val="12"/>
        <color theme="1"/>
        <rFont val="Times New Roman"/>
        <family val="1"/>
      </rPr>
      <t xml:space="preserve">t-1 </t>
    </r>
    <r>
      <rPr>
        <sz val="12"/>
        <color theme="1"/>
        <rFont val="Times New Roman"/>
        <family val="1"/>
      </rPr>
      <t xml:space="preserve">- </t>
    </r>
    <r>
      <rPr>
        <sz val="12"/>
        <color theme="1"/>
        <rFont val="Symbol"/>
        <family val="1"/>
        <charset val="2"/>
      </rPr>
      <t>q</t>
    </r>
    <r>
      <rPr>
        <vertAlign val="subscript"/>
        <sz val="12"/>
        <color theme="1"/>
        <rFont val="Times New Roman"/>
        <family val="1"/>
      </rPr>
      <t>1</t>
    </r>
    <r>
      <rPr>
        <sz val="12"/>
        <color theme="1"/>
        <rFont val="Times New Roman"/>
        <family val="1"/>
      </rPr>
      <t>a</t>
    </r>
    <r>
      <rPr>
        <vertAlign val="subscript"/>
        <sz val="12"/>
        <color theme="1"/>
        <rFont val="Times New Roman"/>
        <family val="1"/>
      </rPr>
      <t>t</t>
    </r>
    <r>
      <rPr>
        <sz val="12"/>
        <color theme="1"/>
        <rFont val="Times New Roman"/>
        <family val="1"/>
      </rPr>
      <t xml:space="preserve"> - </t>
    </r>
    <r>
      <rPr>
        <sz val="12"/>
        <color theme="1"/>
        <rFont val="Symbol"/>
        <family val="1"/>
        <charset val="2"/>
      </rPr>
      <t>q</t>
    </r>
    <r>
      <rPr>
        <vertAlign val="subscript"/>
        <sz val="12"/>
        <color theme="1"/>
        <rFont val="Times New Roman"/>
        <family val="1"/>
      </rPr>
      <t>2</t>
    </r>
    <r>
      <rPr>
        <sz val="12"/>
        <color theme="1"/>
        <rFont val="Times New Roman"/>
        <family val="1"/>
      </rPr>
      <t>a</t>
    </r>
    <r>
      <rPr>
        <vertAlign val="subscript"/>
        <sz val="12"/>
        <color theme="1"/>
        <rFont val="Times New Roman"/>
        <family val="1"/>
      </rPr>
      <t>t-1</t>
    </r>
    <r>
      <rPr>
        <sz val="12"/>
        <color theme="1"/>
        <rFont val="Times New Roman"/>
        <family val="1"/>
      </rPr>
      <t>+ ȳ(1-</t>
    </r>
    <r>
      <rPr>
        <sz val="12"/>
        <color theme="1"/>
        <rFont val="Symbol"/>
        <family val="1"/>
        <charset val="2"/>
      </rPr>
      <t>f</t>
    </r>
    <r>
      <rPr>
        <vertAlign val="subscript"/>
        <sz val="12"/>
        <color theme="1"/>
        <rFont val="Times New Roman"/>
        <family val="1"/>
      </rPr>
      <t>1</t>
    </r>
    <r>
      <rPr>
        <sz val="12"/>
        <color theme="1"/>
        <rFont val="Times New Roman"/>
        <family val="1"/>
      </rPr>
      <t>-</t>
    </r>
    <r>
      <rPr>
        <sz val="12"/>
        <color theme="1"/>
        <rFont val="Symbol"/>
        <family val="1"/>
        <charset val="2"/>
      </rPr>
      <t>f</t>
    </r>
    <r>
      <rPr>
        <vertAlign val="subscript"/>
        <sz val="12"/>
        <color theme="1"/>
        <rFont val="Times New Roman"/>
        <family val="1"/>
      </rPr>
      <t>2</t>
    </r>
    <r>
      <rPr>
        <sz val="12"/>
        <color theme="1"/>
        <rFont val="Times New Roman"/>
        <family val="1"/>
      </rPr>
      <t>)</t>
    </r>
  </si>
  <si>
    <t>(1,1,0)</t>
  </si>
  <si>
    <r>
      <t>ŷ</t>
    </r>
    <r>
      <rPr>
        <vertAlign val="subscript"/>
        <sz val="12"/>
        <color theme="1"/>
        <rFont val="Times New Roman"/>
        <family val="1"/>
      </rPr>
      <t>t</t>
    </r>
    <r>
      <rPr>
        <sz val="12"/>
        <color theme="1"/>
        <rFont val="Times New Roman"/>
        <family val="1"/>
      </rPr>
      <t>(1) = (1+</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t>
    </r>
    <r>
      <rPr>
        <sz val="12"/>
        <color theme="1"/>
        <rFont val="Times New Roman"/>
        <family val="1"/>
      </rPr>
      <t xml:space="preserve"> - </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t-1</t>
    </r>
  </si>
  <si>
    <t>(2,1,0)</t>
  </si>
  <si>
    <r>
      <t>ŷ</t>
    </r>
    <r>
      <rPr>
        <vertAlign val="subscript"/>
        <sz val="12"/>
        <color theme="1"/>
        <rFont val="Times New Roman"/>
        <family val="1"/>
      </rPr>
      <t>t</t>
    </r>
    <r>
      <rPr>
        <sz val="12"/>
        <color theme="1"/>
        <rFont val="Times New Roman"/>
        <family val="1"/>
      </rPr>
      <t>(1) = (1+</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t-1</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y</t>
    </r>
    <r>
      <rPr>
        <vertAlign val="subscript"/>
        <sz val="12"/>
        <color theme="1"/>
        <rFont val="Times New Roman"/>
        <family val="1"/>
      </rPr>
      <t>t-2</t>
    </r>
  </si>
  <si>
    <t>(0,1,1)</t>
  </si>
  <si>
    <r>
      <t>ŷ</t>
    </r>
    <r>
      <rPr>
        <vertAlign val="subscript"/>
        <sz val="12"/>
        <color theme="1"/>
        <rFont val="Times New Roman"/>
        <family val="1"/>
      </rPr>
      <t>t</t>
    </r>
    <r>
      <rPr>
        <sz val="12"/>
        <color theme="1"/>
        <rFont val="Times New Roman"/>
        <family val="1"/>
      </rPr>
      <t>(1) = -</t>
    </r>
    <r>
      <rPr>
        <sz val="12"/>
        <color theme="1"/>
        <rFont val="Symbol"/>
        <family val="1"/>
        <charset val="2"/>
      </rPr>
      <t>q</t>
    </r>
    <r>
      <rPr>
        <vertAlign val="subscript"/>
        <sz val="12"/>
        <color theme="1"/>
        <rFont val="Times New Roman"/>
        <family val="1"/>
      </rPr>
      <t>1</t>
    </r>
    <r>
      <rPr>
        <sz val="12"/>
        <color theme="1"/>
        <rFont val="Times New Roman"/>
        <family val="1"/>
      </rPr>
      <t>a</t>
    </r>
    <r>
      <rPr>
        <vertAlign val="subscript"/>
        <sz val="12"/>
        <color theme="1"/>
        <rFont val="Times New Roman"/>
        <family val="1"/>
      </rPr>
      <t>t</t>
    </r>
    <r>
      <rPr>
        <sz val="12"/>
        <color theme="1"/>
        <rFont val="Times New Roman"/>
        <family val="1"/>
      </rPr>
      <t xml:space="preserve"> + y</t>
    </r>
    <r>
      <rPr>
        <vertAlign val="subscript"/>
        <sz val="12"/>
        <color theme="1"/>
        <rFont val="Times New Roman"/>
        <family val="1"/>
      </rPr>
      <t>t</t>
    </r>
    <r>
      <rPr>
        <sz val="12"/>
        <color theme="1"/>
        <rFont val="Times New Roman"/>
        <family val="1"/>
      </rPr>
      <t xml:space="preserve"> </t>
    </r>
  </si>
  <si>
    <t>(0,1,2)</t>
  </si>
  <si>
    <r>
      <t>ŷ</t>
    </r>
    <r>
      <rPr>
        <vertAlign val="subscript"/>
        <sz val="12"/>
        <color theme="1"/>
        <rFont val="Times New Roman"/>
        <family val="1"/>
      </rPr>
      <t>t</t>
    </r>
    <r>
      <rPr>
        <sz val="12"/>
        <color theme="1"/>
        <rFont val="Times New Roman"/>
        <family val="1"/>
      </rPr>
      <t>(1) = -</t>
    </r>
    <r>
      <rPr>
        <sz val="12"/>
        <color theme="1"/>
        <rFont val="Symbol"/>
        <family val="1"/>
        <charset val="2"/>
      </rPr>
      <t>q</t>
    </r>
    <r>
      <rPr>
        <vertAlign val="subscript"/>
        <sz val="12"/>
        <color theme="1"/>
        <rFont val="Times New Roman"/>
        <family val="1"/>
      </rPr>
      <t>1</t>
    </r>
    <r>
      <rPr>
        <sz val="12"/>
        <color theme="1"/>
        <rFont val="Times New Roman"/>
        <family val="1"/>
      </rPr>
      <t>a</t>
    </r>
    <r>
      <rPr>
        <vertAlign val="subscript"/>
        <sz val="12"/>
        <color theme="1"/>
        <rFont val="Times New Roman"/>
        <family val="1"/>
      </rPr>
      <t>t</t>
    </r>
    <r>
      <rPr>
        <sz val="12"/>
        <color theme="1"/>
        <rFont val="Times New Roman"/>
        <family val="1"/>
      </rPr>
      <t xml:space="preserve"> - </t>
    </r>
    <r>
      <rPr>
        <sz val="12"/>
        <color theme="1"/>
        <rFont val="Symbol"/>
        <family val="1"/>
        <charset val="2"/>
      </rPr>
      <t>q</t>
    </r>
    <r>
      <rPr>
        <vertAlign val="subscript"/>
        <sz val="12"/>
        <color theme="1"/>
        <rFont val="Times New Roman"/>
        <family val="1"/>
      </rPr>
      <t>2</t>
    </r>
    <r>
      <rPr>
        <sz val="12"/>
        <color theme="1"/>
        <rFont val="Times New Roman"/>
        <family val="1"/>
      </rPr>
      <t>a</t>
    </r>
    <r>
      <rPr>
        <vertAlign val="subscript"/>
        <sz val="12"/>
        <color theme="1"/>
        <rFont val="Times New Roman"/>
        <family val="1"/>
      </rPr>
      <t>t-1</t>
    </r>
    <r>
      <rPr>
        <sz val="12"/>
        <color theme="1"/>
        <rFont val="Times New Roman"/>
        <family val="1"/>
      </rPr>
      <t xml:space="preserve"> + y</t>
    </r>
    <r>
      <rPr>
        <vertAlign val="subscript"/>
        <sz val="12"/>
        <color theme="1"/>
        <rFont val="Times New Roman"/>
        <family val="1"/>
      </rPr>
      <t>t</t>
    </r>
  </si>
  <si>
    <t>(1,1,1)</t>
  </si>
  <si>
    <r>
      <t>ŷ</t>
    </r>
    <r>
      <rPr>
        <vertAlign val="subscript"/>
        <sz val="12"/>
        <color theme="1"/>
        <rFont val="Times New Roman"/>
        <family val="1"/>
      </rPr>
      <t>t</t>
    </r>
    <r>
      <rPr>
        <sz val="12"/>
        <color theme="1"/>
        <rFont val="Times New Roman"/>
        <family val="1"/>
      </rPr>
      <t>(1) = (1+</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t>
    </r>
    <r>
      <rPr>
        <sz val="12"/>
        <color theme="1"/>
        <rFont val="Times New Roman"/>
        <family val="1"/>
      </rPr>
      <t xml:space="preserve"> - </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t-1</t>
    </r>
    <r>
      <rPr>
        <sz val="12"/>
        <color theme="1"/>
        <rFont val="Times New Roman"/>
        <family val="1"/>
      </rPr>
      <t xml:space="preserve"> - </t>
    </r>
    <r>
      <rPr>
        <sz val="12"/>
        <color theme="1"/>
        <rFont val="Symbol"/>
        <family val="1"/>
        <charset val="2"/>
      </rPr>
      <t>q</t>
    </r>
    <r>
      <rPr>
        <vertAlign val="subscript"/>
        <sz val="12"/>
        <color theme="1"/>
        <rFont val="Times New Roman"/>
        <family val="1"/>
      </rPr>
      <t>1</t>
    </r>
    <r>
      <rPr>
        <sz val="12"/>
        <color theme="1"/>
        <rFont val="Times New Roman"/>
        <family val="1"/>
      </rPr>
      <t>a</t>
    </r>
    <r>
      <rPr>
        <vertAlign val="subscript"/>
        <sz val="12"/>
        <color theme="1"/>
        <rFont val="Times New Roman"/>
        <family val="1"/>
      </rPr>
      <t>t</t>
    </r>
  </si>
  <si>
    <t xml:space="preserve">(2,1,1) </t>
  </si>
  <si>
    <r>
      <t>ŷ</t>
    </r>
    <r>
      <rPr>
        <vertAlign val="subscript"/>
        <sz val="12"/>
        <color theme="1"/>
        <rFont val="Times New Roman"/>
        <family val="1"/>
      </rPr>
      <t>t</t>
    </r>
    <r>
      <rPr>
        <sz val="12"/>
        <color theme="1"/>
        <rFont val="Times New Roman"/>
        <family val="1"/>
      </rPr>
      <t>(1) = (1+</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t-1</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y</t>
    </r>
    <r>
      <rPr>
        <vertAlign val="subscript"/>
        <sz val="12"/>
        <color theme="1"/>
        <rFont val="Times New Roman"/>
        <family val="1"/>
      </rPr>
      <t xml:space="preserve">t-2 </t>
    </r>
    <r>
      <rPr>
        <sz val="12"/>
        <color theme="1"/>
        <rFont val="Times New Roman"/>
        <family val="1"/>
      </rPr>
      <t xml:space="preserve">- </t>
    </r>
    <r>
      <rPr>
        <sz val="12"/>
        <color theme="1"/>
        <rFont val="Symbol"/>
        <family val="1"/>
        <charset val="2"/>
      </rPr>
      <t>q</t>
    </r>
    <r>
      <rPr>
        <vertAlign val="subscript"/>
        <sz val="12"/>
        <color theme="1"/>
        <rFont val="Times New Roman"/>
        <family val="1"/>
      </rPr>
      <t>1</t>
    </r>
    <r>
      <rPr>
        <sz val="12"/>
        <color theme="1"/>
        <rFont val="Times New Roman"/>
        <family val="1"/>
      </rPr>
      <t>a</t>
    </r>
    <r>
      <rPr>
        <vertAlign val="subscript"/>
        <sz val="12"/>
        <color theme="1"/>
        <rFont val="Times New Roman"/>
        <family val="1"/>
      </rPr>
      <t>t</t>
    </r>
    <r>
      <rPr>
        <sz val="12"/>
        <color theme="1"/>
        <rFont val="Times New Roman"/>
        <family val="1"/>
      </rPr>
      <t xml:space="preserve"> + y</t>
    </r>
    <r>
      <rPr>
        <vertAlign val="subscript"/>
        <sz val="12"/>
        <color theme="1"/>
        <rFont val="Times New Roman"/>
        <family val="1"/>
      </rPr>
      <t>t</t>
    </r>
  </si>
  <si>
    <t>(1,1,2)</t>
  </si>
  <si>
    <r>
      <t>ŷ</t>
    </r>
    <r>
      <rPr>
        <vertAlign val="subscript"/>
        <sz val="12"/>
        <color theme="1"/>
        <rFont val="Times New Roman"/>
        <family val="1"/>
      </rPr>
      <t>t</t>
    </r>
    <r>
      <rPr>
        <sz val="12"/>
        <color theme="1"/>
        <rFont val="Times New Roman"/>
        <family val="1"/>
      </rPr>
      <t>(1) = (1+</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t>
    </r>
    <r>
      <rPr>
        <sz val="12"/>
        <color theme="1"/>
        <rFont val="Times New Roman"/>
        <family val="1"/>
      </rPr>
      <t xml:space="preserve"> - </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 xml:space="preserve">t-1 </t>
    </r>
    <r>
      <rPr>
        <sz val="12"/>
        <color theme="1"/>
        <rFont val="Times New Roman"/>
        <family val="1"/>
      </rPr>
      <t xml:space="preserve">- </t>
    </r>
    <r>
      <rPr>
        <sz val="12"/>
        <color theme="1"/>
        <rFont val="Symbol"/>
        <family val="1"/>
        <charset val="2"/>
      </rPr>
      <t>q</t>
    </r>
    <r>
      <rPr>
        <vertAlign val="subscript"/>
        <sz val="12"/>
        <color theme="1"/>
        <rFont val="Times New Roman"/>
        <family val="1"/>
      </rPr>
      <t>1</t>
    </r>
    <r>
      <rPr>
        <sz val="12"/>
        <color theme="1"/>
        <rFont val="Times New Roman"/>
        <family val="1"/>
      </rPr>
      <t>a</t>
    </r>
    <r>
      <rPr>
        <vertAlign val="subscript"/>
        <sz val="12"/>
        <color theme="1"/>
        <rFont val="Times New Roman"/>
        <family val="1"/>
      </rPr>
      <t>t</t>
    </r>
    <r>
      <rPr>
        <sz val="12"/>
        <color theme="1"/>
        <rFont val="Times New Roman"/>
        <family val="1"/>
      </rPr>
      <t xml:space="preserve"> - </t>
    </r>
    <r>
      <rPr>
        <sz val="12"/>
        <color theme="1"/>
        <rFont val="Symbol"/>
        <family val="1"/>
        <charset val="2"/>
      </rPr>
      <t>q</t>
    </r>
    <r>
      <rPr>
        <vertAlign val="subscript"/>
        <sz val="12"/>
        <color theme="1"/>
        <rFont val="Times New Roman"/>
        <family val="1"/>
      </rPr>
      <t>2</t>
    </r>
    <r>
      <rPr>
        <sz val="12"/>
        <color theme="1"/>
        <rFont val="Times New Roman"/>
        <family val="1"/>
      </rPr>
      <t>a</t>
    </r>
    <r>
      <rPr>
        <vertAlign val="subscript"/>
        <sz val="12"/>
        <color theme="1"/>
        <rFont val="Times New Roman"/>
        <family val="1"/>
      </rPr>
      <t>t-1</t>
    </r>
    <r>
      <rPr>
        <sz val="12"/>
        <color theme="1"/>
        <rFont val="Times New Roman"/>
        <family val="1"/>
      </rPr>
      <t xml:space="preserve"> + y</t>
    </r>
    <r>
      <rPr>
        <vertAlign val="subscript"/>
        <sz val="12"/>
        <color theme="1"/>
        <rFont val="Times New Roman"/>
        <family val="1"/>
      </rPr>
      <t>t</t>
    </r>
  </si>
  <si>
    <t>(2,1,2)</t>
  </si>
  <si>
    <r>
      <t>ŷ</t>
    </r>
    <r>
      <rPr>
        <vertAlign val="subscript"/>
        <sz val="12"/>
        <color theme="1"/>
        <rFont val="Times New Roman"/>
        <family val="1"/>
      </rPr>
      <t>t</t>
    </r>
    <r>
      <rPr>
        <sz val="12"/>
        <color theme="1"/>
        <rFont val="Times New Roman"/>
        <family val="1"/>
      </rPr>
      <t>(1) = (1+</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t-1</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y</t>
    </r>
    <r>
      <rPr>
        <vertAlign val="subscript"/>
        <sz val="12"/>
        <color theme="1"/>
        <rFont val="Times New Roman"/>
        <family val="1"/>
      </rPr>
      <t xml:space="preserve">t-2 </t>
    </r>
    <r>
      <rPr>
        <sz val="12"/>
        <color theme="1"/>
        <rFont val="Times New Roman"/>
        <family val="1"/>
      </rPr>
      <t xml:space="preserve">- </t>
    </r>
    <r>
      <rPr>
        <sz val="12"/>
        <color theme="1"/>
        <rFont val="Symbol"/>
        <family val="1"/>
        <charset val="2"/>
      </rPr>
      <t>q</t>
    </r>
    <r>
      <rPr>
        <vertAlign val="subscript"/>
        <sz val="12"/>
        <color theme="1"/>
        <rFont val="Times New Roman"/>
        <family val="1"/>
      </rPr>
      <t>1</t>
    </r>
    <r>
      <rPr>
        <sz val="12"/>
        <color theme="1"/>
        <rFont val="Times New Roman"/>
        <family val="1"/>
      </rPr>
      <t>a</t>
    </r>
    <r>
      <rPr>
        <vertAlign val="subscript"/>
        <sz val="12"/>
        <color theme="1"/>
        <rFont val="Times New Roman"/>
        <family val="1"/>
      </rPr>
      <t>t</t>
    </r>
    <r>
      <rPr>
        <sz val="12"/>
        <color theme="1"/>
        <rFont val="Times New Roman"/>
        <family val="1"/>
      </rPr>
      <t xml:space="preserve"> - </t>
    </r>
    <r>
      <rPr>
        <sz val="12"/>
        <color theme="1"/>
        <rFont val="Symbol"/>
        <family val="1"/>
        <charset val="2"/>
      </rPr>
      <t>q</t>
    </r>
    <r>
      <rPr>
        <vertAlign val="subscript"/>
        <sz val="12"/>
        <color theme="1"/>
        <rFont val="Times New Roman"/>
        <family val="1"/>
      </rPr>
      <t>2</t>
    </r>
    <r>
      <rPr>
        <sz val="12"/>
        <color theme="1"/>
        <rFont val="Times New Roman"/>
        <family val="1"/>
      </rPr>
      <t>a</t>
    </r>
    <r>
      <rPr>
        <vertAlign val="subscript"/>
        <sz val="12"/>
        <color theme="1"/>
        <rFont val="Times New Roman"/>
        <family val="1"/>
      </rPr>
      <t>t-1</t>
    </r>
    <r>
      <rPr>
        <sz val="12"/>
        <color theme="1"/>
        <rFont val="Times New Roman"/>
        <family val="1"/>
      </rPr>
      <t xml:space="preserve"> + y</t>
    </r>
    <r>
      <rPr>
        <vertAlign val="subscript"/>
        <sz val="12"/>
        <color theme="1"/>
        <rFont val="Times New Roman"/>
        <family val="1"/>
      </rPr>
      <t>t</t>
    </r>
  </si>
  <si>
    <t>(1,2,0)</t>
  </si>
  <si>
    <r>
      <t>ŷ</t>
    </r>
    <r>
      <rPr>
        <vertAlign val="subscript"/>
        <sz val="12"/>
        <color theme="1"/>
        <rFont val="Times New Roman"/>
        <family val="1"/>
      </rPr>
      <t>t</t>
    </r>
    <r>
      <rPr>
        <sz val="12"/>
        <color theme="1"/>
        <rFont val="Times New Roman"/>
        <family val="1"/>
      </rPr>
      <t>(1) = (2+</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t>
    </r>
    <r>
      <rPr>
        <sz val="12"/>
        <color theme="1"/>
        <rFont val="Times New Roman"/>
        <family val="1"/>
      </rPr>
      <t xml:space="preserve"> - (1+2</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t-1</t>
    </r>
    <r>
      <rPr>
        <sz val="12"/>
        <color theme="1"/>
        <rFont val="Times New Roman"/>
        <family val="1"/>
      </rPr>
      <t xml:space="preserve"> + </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t-2</t>
    </r>
  </si>
  <si>
    <t>(2,2,0)</t>
  </si>
  <si>
    <r>
      <t>ŷ</t>
    </r>
    <r>
      <rPr>
        <vertAlign val="subscript"/>
        <sz val="12"/>
        <color theme="1"/>
        <rFont val="Times New Roman"/>
        <family val="1"/>
      </rPr>
      <t>t</t>
    </r>
    <r>
      <rPr>
        <sz val="12"/>
        <color theme="1"/>
        <rFont val="Times New Roman"/>
        <family val="1"/>
      </rPr>
      <t>(1) = (2+</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-2</t>
    </r>
    <r>
      <rPr>
        <sz val="12"/>
        <color theme="1"/>
        <rFont val="Symbol"/>
        <family val="1"/>
        <charset val="2"/>
      </rPr>
      <t>f</t>
    </r>
    <r>
      <rPr>
        <vertAlign val="subscript"/>
        <sz val="12"/>
        <color theme="1"/>
        <rFont val="Times New Roman"/>
        <family val="1"/>
      </rPr>
      <t>1</t>
    </r>
    <r>
      <rPr>
        <sz val="12"/>
        <color theme="1"/>
        <rFont val="Times New Roman"/>
        <family val="1"/>
      </rPr>
      <t>-1)y</t>
    </r>
    <r>
      <rPr>
        <vertAlign val="subscript"/>
        <sz val="12"/>
        <color theme="1"/>
        <rFont val="Times New Roman"/>
        <family val="1"/>
      </rPr>
      <t>t-1</t>
    </r>
    <r>
      <rPr>
        <sz val="12"/>
        <color theme="1"/>
        <rFont val="Times New Roman"/>
        <family val="1"/>
      </rPr>
      <t xml:space="preserve"> + (</t>
    </r>
    <r>
      <rPr>
        <sz val="12"/>
        <color theme="1"/>
        <rFont val="Symbol"/>
        <family val="1"/>
        <charset val="2"/>
      </rPr>
      <t>f</t>
    </r>
    <r>
      <rPr>
        <vertAlign val="subscript"/>
        <sz val="12"/>
        <color theme="1"/>
        <rFont val="Times New Roman"/>
        <family val="1"/>
      </rPr>
      <t>1</t>
    </r>
    <r>
      <rPr>
        <sz val="12"/>
        <color theme="1"/>
        <rFont val="Times New Roman"/>
        <family val="1"/>
      </rPr>
      <t>-2</t>
    </r>
    <r>
      <rPr>
        <sz val="12"/>
        <color theme="1"/>
        <rFont val="Symbol"/>
        <family val="1"/>
        <charset val="2"/>
      </rPr>
      <t>f</t>
    </r>
    <r>
      <rPr>
        <vertAlign val="subscript"/>
        <sz val="12"/>
        <color theme="1"/>
        <rFont val="Times New Roman"/>
        <family val="1"/>
      </rPr>
      <t>2</t>
    </r>
    <r>
      <rPr>
        <sz val="12"/>
        <color theme="1"/>
        <rFont val="Times New Roman"/>
        <family val="1"/>
      </rPr>
      <t>)y</t>
    </r>
    <r>
      <rPr>
        <vertAlign val="subscript"/>
        <sz val="12"/>
        <color theme="1"/>
        <rFont val="Times New Roman"/>
        <family val="1"/>
      </rPr>
      <t>t-2</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y</t>
    </r>
    <r>
      <rPr>
        <vertAlign val="subscript"/>
        <sz val="12"/>
        <color theme="1"/>
        <rFont val="Times New Roman"/>
        <family val="1"/>
      </rPr>
      <t>t-3</t>
    </r>
  </si>
  <si>
    <t>(0,2,1)</t>
  </si>
  <si>
    <r>
      <t>ŷ</t>
    </r>
    <r>
      <rPr>
        <vertAlign val="subscript"/>
        <sz val="12"/>
        <color theme="1"/>
        <rFont val="Times New Roman"/>
        <family val="1"/>
      </rPr>
      <t>t</t>
    </r>
    <r>
      <rPr>
        <sz val="12"/>
        <color theme="1"/>
        <rFont val="Times New Roman"/>
        <family val="1"/>
      </rPr>
      <t>(1) = -</t>
    </r>
    <r>
      <rPr>
        <sz val="12"/>
        <color theme="1"/>
        <rFont val="Symbol"/>
        <family val="1"/>
        <charset val="2"/>
      </rPr>
      <t>q</t>
    </r>
    <r>
      <rPr>
        <vertAlign val="subscript"/>
        <sz val="12"/>
        <color theme="1"/>
        <rFont val="Times New Roman"/>
        <family val="1"/>
      </rPr>
      <t>1</t>
    </r>
    <r>
      <rPr>
        <sz val="12"/>
        <color theme="1"/>
        <rFont val="Times New Roman"/>
        <family val="1"/>
      </rPr>
      <t>a</t>
    </r>
    <r>
      <rPr>
        <vertAlign val="subscript"/>
        <sz val="12"/>
        <color theme="1"/>
        <rFont val="Times New Roman"/>
        <family val="1"/>
      </rPr>
      <t>t</t>
    </r>
    <r>
      <rPr>
        <sz val="12"/>
        <color theme="1"/>
        <rFont val="Times New Roman"/>
        <family val="1"/>
      </rPr>
      <t xml:space="preserve"> + 2y</t>
    </r>
    <r>
      <rPr>
        <vertAlign val="subscript"/>
        <sz val="12"/>
        <color theme="1"/>
        <rFont val="Times New Roman"/>
        <family val="1"/>
      </rPr>
      <t>t</t>
    </r>
    <r>
      <rPr>
        <sz val="12"/>
        <color theme="1"/>
        <rFont val="Times New Roman"/>
        <family val="1"/>
      </rPr>
      <t xml:space="preserve"> - y</t>
    </r>
    <r>
      <rPr>
        <vertAlign val="subscript"/>
        <sz val="12"/>
        <color theme="1"/>
        <rFont val="Times New Roman"/>
        <family val="1"/>
      </rPr>
      <t>t-1</t>
    </r>
    <r>
      <rPr>
        <sz val="12"/>
        <color theme="1"/>
        <rFont val="Times New Roman"/>
        <family val="1"/>
      </rPr>
      <t xml:space="preserve"> </t>
    </r>
  </si>
  <si>
    <t>(0,2,2)</t>
  </si>
  <si>
    <r>
      <t>ŷ</t>
    </r>
    <r>
      <rPr>
        <vertAlign val="subscript"/>
        <sz val="12"/>
        <color theme="1"/>
        <rFont val="Times New Roman"/>
        <family val="1"/>
      </rPr>
      <t>t</t>
    </r>
    <r>
      <rPr>
        <sz val="12"/>
        <color theme="1"/>
        <rFont val="Times New Roman"/>
        <family val="1"/>
      </rPr>
      <t>(1) = -</t>
    </r>
    <r>
      <rPr>
        <sz val="12"/>
        <color theme="1"/>
        <rFont val="Symbol"/>
        <family val="1"/>
        <charset val="2"/>
      </rPr>
      <t>q</t>
    </r>
    <r>
      <rPr>
        <vertAlign val="subscript"/>
        <sz val="12"/>
        <color theme="1"/>
        <rFont val="Times New Roman"/>
        <family val="1"/>
      </rPr>
      <t>1</t>
    </r>
    <r>
      <rPr>
        <sz val="12"/>
        <color theme="1"/>
        <rFont val="Times New Roman"/>
        <family val="1"/>
      </rPr>
      <t>a</t>
    </r>
    <r>
      <rPr>
        <vertAlign val="subscript"/>
        <sz val="12"/>
        <color theme="1"/>
        <rFont val="Times New Roman"/>
        <family val="1"/>
      </rPr>
      <t>t</t>
    </r>
    <r>
      <rPr>
        <sz val="12"/>
        <color theme="1"/>
        <rFont val="Times New Roman"/>
        <family val="1"/>
      </rPr>
      <t xml:space="preserve"> - </t>
    </r>
    <r>
      <rPr>
        <sz val="12"/>
        <color theme="1"/>
        <rFont val="Symbol"/>
        <family val="1"/>
        <charset val="2"/>
      </rPr>
      <t>q</t>
    </r>
    <r>
      <rPr>
        <vertAlign val="subscript"/>
        <sz val="12"/>
        <color theme="1"/>
        <rFont val="Times New Roman"/>
        <family val="1"/>
      </rPr>
      <t>2</t>
    </r>
    <r>
      <rPr>
        <sz val="12"/>
        <color theme="1"/>
        <rFont val="Times New Roman"/>
        <family val="1"/>
      </rPr>
      <t>a</t>
    </r>
    <r>
      <rPr>
        <vertAlign val="subscript"/>
        <sz val="12"/>
        <color theme="1"/>
        <rFont val="Times New Roman"/>
        <family val="1"/>
      </rPr>
      <t>t-1</t>
    </r>
    <r>
      <rPr>
        <sz val="12"/>
        <color theme="1"/>
        <rFont val="Times New Roman"/>
        <family val="1"/>
      </rPr>
      <t xml:space="preserve"> + 2y</t>
    </r>
    <r>
      <rPr>
        <vertAlign val="subscript"/>
        <sz val="12"/>
        <color theme="1"/>
        <rFont val="Times New Roman"/>
        <family val="1"/>
      </rPr>
      <t>t</t>
    </r>
    <r>
      <rPr>
        <sz val="12"/>
        <color theme="1"/>
        <rFont val="Times New Roman"/>
        <family val="1"/>
      </rPr>
      <t xml:space="preserve"> - y</t>
    </r>
    <r>
      <rPr>
        <vertAlign val="subscript"/>
        <sz val="12"/>
        <color theme="1"/>
        <rFont val="Times New Roman"/>
        <family val="1"/>
      </rPr>
      <t>t-1</t>
    </r>
    <r>
      <rPr>
        <sz val="12"/>
        <color theme="1"/>
        <rFont val="Times New Roman"/>
        <family val="1"/>
      </rPr>
      <t xml:space="preserve">  </t>
    </r>
  </si>
  <si>
    <t>(1,2,1)</t>
  </si>
  <si>
    <r>
      <t>ŷ</t>
    </r>
    <r>
      <rPr>
        <vertAlign val="subscript"/>
        <sz val="12"/>
        <color theme="1"/>
        <rFont val="Times New Roman"/>
        <family val="1"/>
      </rPr>
      <t>t</t>
    </r>
    <r>
      <rPr>
        <sz val="12"/>
        <color theme="1"/>
        <rFont val="Times New Roman"/>
        <family val="1"/>
      </rPr>
      <t>(1) = (2+</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t>
    </r>
    <r>
      <rPr>
        <sz val="12"/>
        <color theme="1"/>
        <rFont val="Times New Roman"/>
        <family val="1"/>
      </rPr>
      <t xml:space="preserve"> - (1+2</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t-1</t>
    </r>
    <r>
      <rPr>
        <sz val="12"/>
        <color theme="1"/>
        <rFont val="Times New Roman"/>
        <family val="1"/>
      </rPr>
      <t xml:space="preserve"> + </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 xml:space="preserve">t-2 </t>
    </r>
    <r>
      <rPr>
        <sz val="12"/>
        <color theme="1"/>
        <rFont val="Times New Roman"/>
        <family val="1"/>
      </rPr>
      <t xml:space="preserve">- </t>
    </r>
    <r>
      <rPr>
        <sz val="12"/>
        <color theme="1"/>
        <rFont val="Symbol"/>
        <family val="1"/>
        <charset val="2"/>
      </rPr>
      <t>q</t>
    </r>
    <r>
      <rPr>
        <vertAlign val="subscript"/>
        <sz val="12"/>
        <color theme="1"/>
        <rFont val="Times New Roman"/>
        <family val="1"/>
      </rPr>
      <t>1</t>
    </r>
    <r>
      <rPr>
        <sz val="12"/>
        <color theme="1"/>
        <rFont val="Times New Roman"/>
        <family val="1"/>
      </rPr>
      <t>a</t>
    </r>
    <r>
      <rPr>
        <vertAlign val="subscript"/>
        <sz val="12"/>
        <color theme="1"/>
        <rFont val="Times New Roman"/>
        <family val="1"/>
      </rPr>
      <t>t</t>
    </r>
    <r>
      <rPr>
        <sz val="12"/>
        <color theme="1"/>
        <rFont val="Times New Roman"/>
        <family val="1"/>
      </rPr>
      <t xml:space="preserve"> </t>
    </r>
  </si>
  <si>
    <t>(2,2,1)</t>
  </si>
  <si>
    <r>
      <t>ŷ</t>
    </r>
    <r>
      <rPr>
        <vertAlign val="subscript"/>
        <sz val="12"/>
        <color theme="1"/>
        <rFont val="Times New Roman"/>
        <family val="1"/>
      </rPr>
      <t>t</t>
    </r>
    <r>
      <rPr>
        <sz val="12"/>
        <color theme="1"/>
        <rFont val="Times New Roman"/>
        <family val="1"/>
      </rPr>
      <t>(1) = (2+</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-2</t>
    </r>
    <r>
      <rPr>
        <sz val="12"/>
        <color theme="1"/>
        <rFont val="Symbol"/>
        <family val="1"/>
        <charset val="2"/>
      </rPr>
      <t>f</t>
    </r>
    <r>
      <rPr>
        <vertAlign val="subscript"/>
        <sz val="12"/>
        <color theme="1"/>
        <rFont val="Times New Roman"/>
        <family val="1"/>
      </rPr>
      <t>1</t>
    </r>
    <r>
      <rPr>
        <sz val="12"/>
        <color theme="1"/>
        <rFont val="Times New Roman"/>
        <family val="1"/>
      </rPr>
      <t>-1)y</t>
    </r>
    <r>
      <rPr>
        <vertAlign val="subscript"/>
        <sz val="12"/>
        <color theme="1"/>
        <rFont val="Times New Roman"/>
        <family val="1"/>
      </rPr>
      <t>t-1</t>
    </r>
    <r>
      <rPr>
        <sz val="12"/>
        <color theme="1"/>
        <rFont val="Times New Roman"/>
        <family val="1"/>
      </rPr>
      <t xml:space="preserve"> + (</t>
    </r>
    <r>
      <rPr>
        <sz val="12"/>
        <color theme="1"/>
        <rFont val="Symbol"/>
        <family val="1"/>
        <charset val="2"/>
      </rPr>
      <t>f</t>
    </r>
    <r>
      <rPr>
        <vertAlign val="subscript"/>
        <sz val="12"/>
        <color theme="1"/>
        <rFont val="Times New Roman"/>
        <family val="1"/>
      </rPr>
      <t>1</t>
    </r>
    <r>
      <rPr>
        <sz val="12"/>
        <color theme="1"/>
        <rFont val="Times New Roman"/>
        <family val="1"/>
      </rPr>
      <t>-2</t>
    </r>
    <r>
      <rPr>
        <sz val="12"/>
        <color theme="1"/>
        <rFont val="Symbol"/>
        <family val="1"/>
        <charset val="2"/>
      </rPr>
      <t>f</t>
    </r>
    <r>
      <rPr>
        <vertAlign val="subscript"/>
        <sz val="12"/>
        <color theme="1"/>
        <rFont val="Times New Roman"/>
        <family val="1"/>
      </rPr>
      <t>2</t>
    </r>
    <r>
      <rPr>
        <sz val="12"/>
        <color theme="1"/>
        <rFont val="Times New Roman"/>
        <family val="1"/>
      </rPr>
      <t>)y</t>
    </r>
    <r>
      <rPr>
        <vertAlign val="subscript"/>
        <sz val="12"/>
        <color theme="1"/>
        <rFont val="Times New Roman"/>
        <family val="1"/>
      </rPr>
      <t>t-2</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y</t>
    </r>
    <r>
      <rPr>
        <vertAlign val="subscript"/>
        <sz val="12"/>
        <color theme="1"/>
        <rFont val="Times New Roman"/>
        <family val="1"/>
      </rPr>
      <t xml:space="preserve">t-3 </t>
    </r>
    <r>
      <rPr>
        <sz val="12"/>
        <color theme="1"/>
        <rFont val="Times New Roman"/>
        <family val="1"/>
      </rPr>
      <t xml:space="preserve">- </t>
    </r>
    <r>
      <rPr>
        <sz val="12"/>
        <color theme="1"/>
        <rFont val="Symbol"/>
        <family val="1"/>
        <charset val="2"/>
      </rPr>
      <t>q</t>
    </r>
    <r>
      <rPr>
        <vertAlign val="subscript"/>
        <sz val="12"/>
        <color theme="1"/>
        <rFont val="Times New Roman"/>
        <family val="1"/>
      </rPr>
      <t>1</t>
    </r>
    <r>
      <rPr>
        <sz val="12"/>
        <color theme="1"/>
        <rFont val="Times New Roman"/>
        <family val="1"/>
      </rPr>
      <t>a</t>
    </r>
    <r>
      <rPr>
        <vertAlign val="subscript"/>
        <sz val="12"/>
        <color theme="1"/>
        <rFont val="Times New Roman"/>
        <family val="1"/>
      </rPr>
      <t>t</t>
    </r>
    <r>
      <rPr>
        <sz val="12"/>
        <color theme="1"/>
        <rFont val="Times New Roman"/>
        <family val="1"/>
      </rPr>
      <t xml:space="preserve"> + 2y</t>
    </r>
    <r>
      <rPr>
        <vertAlign val="subscript"/>
        <sz val="12"/>
        <color theme="1"/>
        <rFont val="Times New Roman"/>
        <family val="1"/>
      </rPr>
      <t>t</t>
    </r>
    <r>
      <rPr>
        <sz val="12"/>
        <color theme="1"/>
        <rFont val="Times New Roman"/>
        <family val="1"/>
      </rPr>
      <t xml:space="preserve"> - y</t>
    </r>
    <r>
      <rPr>
        <vertAlign val="subscript"/>
        <sz val="12"/>
        <color theme="1"/>
        <rFont val="Times New Roman"/>
        <family val="1"/>
      </rPr>
      <t>t-1</t>
    </r>
  </si>
  <si>
    <t>(2,2,2)</t>
  </si>
  <si>
    <r>
      <t>ŷ</t>
    </r>
    <r>
      <rPr>
        <vertAlign val="subscript"/>
        <sz val="12"/>
        <color theme="1"/>
        <rFont val="Times New Roman"/>
        <family val="1"/>
      </rPr>
      <t>t</t>
    </r>
    <r>
      <rPr>
        <sz val="12"/>
        <color theme="1"/>
        <rFont val="Times New Roman"/>
        <family val="1"/>
      </rPr>
      <t>(1) = (2+</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t>
    </r>
    <r>
      <rPr>
        <sz val="12"/>
        <color theme="1"/>
        <rFont val="Times New Roman"/>
        <family val="1"/>
      </rPr>
      <t>+(</t>
    </r>
    <r>
      <rPr>
        <sz val="12"/>
        <color theme="1"/>
        <rFont val="Symbol"/>
        <family val="1"/>
        <charset val="2"/>
      </rPr>
      <t>f</t>
    </r>
    <r>
      <rPr>
        <vertAlign val="subscript"/>
        <sz val="12"/>
        <color theme="1"/>
        <rFont val="Times New Roman"/>
        <family val="1"/>
      </rPr>
      <t>2</t>
    </r>
    <r>
      <rPr>
        <sz val="12"/>
        <color theme="1"/>
        <rFont val="Times New Roman"/>
        <family val="1"/>
      </rPr>
      <t>-2</t>
    </r>
    <r>
      <rPr>
        <sz val="12"/>
        <color theme="1"/>
        <rFont val="Symbol"/>
        <family val="1"/>
        <charset val="2"/>
      </rPr>
      <t>f</t>
    </r>
    <r>
      <rPr>
        <vertAlign val="subscript"/>
        <sz val="12"/>
        <color theme="1"/>
        <rFont val="Times New Roman"/>
        <family val="1"/>
      </rPr>
      <t>1</t>
    </r>
    <r>
      <rPr>
        <sz val="12"/>
        <color theme="1"/>
        <rFont val="Times New Roman"/>
        <family val="1"/>
      </rPr>
      <t>-1)y</t>
    </r>
    <r>
      <rPr>
        <vertAlign val="subscript"/>
        <sz val="12"/>
        <color theme="1"/>
        <rFont val="Times New Roman"/>
        <family val="1"/>
      </rPr>
      <t>t-1</t>
    </r>
    <r>
      <rPr>
        <sz val="12"/>
        <color theme="1"/>
        <rFont val="Times New Roman"/>
        <family val="1"/>
      </rPr>
      <t>+(</t>
    </r>
    <r>
      <rPr>
        <sz val="12"/>
        <color theme="1"/>
        <rFont val="Symbol"/>
        <family val="1"/>
        <charset val="2"/>
      </rPr>
      <t>f</t>
    </r>
    <r>
      <rPr>
        <vertAlign val="subscript"/>
        <sz val="12"/>
        <color theme="1"/>
        <rFont val="Times New Roman"/>
        <family val="1"/>
      </rPr>
      <t>1</t>
    </r>
    <r>
      <rPr>
        <sz val="12"/>
        <color theme="1"/>
        <rFont val="Times New Roman"/>
        <family val="1"/>
      </rPr>
      <t>-2</t>
    </r>
    <r>
      <rPr>
        <sz val="12"/>
        <color theme="1"/>
        <rFont val="Symbol"/>
        <family val="1"/>
        <charset val="2"/>
      </rPr>
      <t>f</t>
    </r>
    <r>
      <rPr>
        <vertAlign val="subscript"/>
        <sz val="12"/>
        <color theme="1"/>
        <rFont val="Times New Roman"/>
        <family val="1"/>
      </rPr>
      <t>2</t>
    </r>
    <r>
      <rPr>
        <sz val="12"/>
        <color theme="1"/>
        <rFont val="Times New Roman"/>
        <family val="1"/>
      </rPr>
      <t>)y</t>
    </r>
    <r>
      <rPr>
        <vertAlign val="subscript"/>
        <sz val="12"/>
        <color theme="1"/>
        <rFont val="Times New Roman"/>
        <family val="1"/>
      </rPr>
      <t>t-2</t>
    </r>
    <r>
      <rPr>
        <sz val="12"/>
        <color theme="1"/>
        <rFont val="Times New Roman"/>
        <family val="1"/>
      </rPr>
      <t>+</t>
    </r>
    <r>
      <rPr>
        <sz val="12"/>
        <color theme="1"/>
        <rFont val="Symbol"/>
        <family val="1"/>
        <charset val="2"/>
      </rPr>
      <t>f</t>
    </r>
    <r>
      <rPr>
        <vertAlign val="subscript"/>
        <sz val="12"/>
        <color theme="1"/>
        <rFont val="Times New Roman"/>
        <family val="1"/>
      </rPr>
      <t>2</t>
    </r>
    <r>
      <rPr>
        <sz val="12"/>
        <color theme="1"/>
        <rFont val="Times New Roman"/>
        <family val="1"/>
      </rPr>
      <t>y</t>
    </r>
    <r>
      <rPr>
        <vertAlign val="subscript"/>
        <sz val="12"/>
        <color theme="1"/>
        <rFont val="Times New Roman"/>
        <family val="1"/>
      </rPr>
      <t xml:space="preserve">t-3 </t>
    </r>
    <r>
      <rPr>
        <sz val="12"/>
        <color theme="1"/>
        <rFont val="Times New Roman"/>
        <family val="1"/>
      </rPr>
      <t xml:space="preserve">- </t>
    </r>
    <r>
      <rPr>
        <sz val="12"/>
        <color theme="1"/>
        <rFont val="Symbol"/>
        <family val="1"/>
        <charset val="2"/>
      </rPr>
      <t>q</t>
    </r>
    <r>
      <rPr>
        <vertAlign val="subscript"/>
        <sz val="12"/>
        <color theme="1"/>
        <rFont val="Times New Roman"/>
        <family val="1"/>
      </rPr>
      <t>1</t>
    </r>
    <r>
      <rPr>
        <sz val="12"/>
        <color theme="1"/>
        <rFont val="Times New Roman"/>
        <family val="1"/>
      </rPr>
      <t>a</t>
    </r>
    <r>
      <rPr>
        <vertAlign val="subscript"/>
        <sz val="12"/>
        <color theme="1"/>
        <rFont val="Times New Roman"/>
        <family val="1"/>
      </rPr>
      <t xml:space="preserve">t </t>
    </r>
    <r>
      <rPr>
        <sz val="12"/>
        <color theme="1"/>
        <rFont val="Times New Roman"/>
        <family val="1"/>
      </rPr>
      <t xml:space="preserve">- </t>
    </r>
    <r>
      <rPr>
        <sz val="12"/>
        <color theme="1"/>
        <rFont val="Symbol"/>
        <family val="1"/>
        <charset val="2"/>
      </rPr>
      <t>q</t>
    </r>
    <r>
      <rPr>
        <vertAlign val="subscript"/>
        <sz val="12"/>
        <color theme="1"/>
        <rFont val="Times New Roman"/>
        <family val="1"/>
      </rPr>
      <t>2</t>
    </r>
    <r>
      <rPr>
        <sz val="12"/>
        <color theme="1"/>
        <rFont val="Times New Roman"/>
        <family val="1"/>
      </rPr>
      <t>a</t>
    </r>
    <r>
      <rPr>
        <vertAlign val="subscript"/>
        <sz val="12"/>
        <color theme="1"/>
        <rFont val="Times New Roman"/>
        <family val="1"/>
      </rPr>
      <t xml:space="preserve">t-1 </t>
    </r>
    <r>
      <rPr>
        <sz val="12"/>
        <color theme="1"/>
        <rFont val="Times New Roman"/>
        <family val="1"/>
      </rPr>
      <t>+ 2y</t>
    </r>
    <r>
      <rPr>
        <vertAlign val="subscript"/>
        <sz val="12"/>
        <color theme="1"/>
        <rFont val="Times New Roman"/>
        <family val="1"/>
      </rPr>
      <t xml:space="preserve">t </t>
    </r>
    <r>
      <rPr>
        <sz val="12"/>
        <color theme="1"/>
        <rFont val="Times New Roman"/>
        <family val="1"/>
      </rPr>
      <t>- y</t>
    </r>
    <r>
      <rPr>
        <vertAlign val="subscript"/>
        <sz val="12"/>
        <color theme="1"/>
        <rFont val="Times New Roman"/>
        <family val="1"/>
      </rPr>
      <t>t-1</t>
    </r>
  </si>
  <si>
    <t>1. Copy the appropriate fitting formula (i.e. forecasting for l=1) from cells N28:N48 and paste it</t>
  </si>
  <si>
    <t>=$N$3*B2+AVERAGE($B$2:$B$50)*(1-$N$3)</t>
  </si>
  <si>
    <t>=$Q$3*B3+$Q$4*B2+AVERAGE($B$2:$B$50)*(1-$Q$3-$Q$4)</t>
  </si>
  <si>
    <t>=-$O$6*D2+AVERAGE($B$2:$B$50)</t>
  </si>
  <si>
    <t>=-$O$11*D3-$O$12*D2+AVERAGE($B$2:$B$50)</t>
  </si>
  <si>
    <t>=$N$3*B2-$O$6*D2+AVERAGE($B$2:$B$50)*(1-$N$3)</t>
  </si>
  <si>
    <t>=$Q$8*B3-$Q$9*B2-$R$11*D3-$R$12*D2+AVERAGE($B$2:$B$50)*(1-$Q$8-$Q$9)</t>
  </si>
  <si>
    <t>=(1+$N$3)*B3-$N$3*B2</t>
  </si>
  <si>
    <t>=(1+$Q$3)*B4+($Q$4-$Q$3)*B3-$Q$4*B2</t>
  </si>
  <si>
    <t>to cell B3 (for ARMA(1,1)), cell B4 (for ARMA(2,2)) or cell B5 (for ARMA(3,3)); or depending on the level of differencing</t>
  </si>
  <si>
    <t>=-$O$6*D2+B2</t>
  </si>
  <si>
    <t>=-$O$11*D3-$O$12*D2+B3</t>
  </si>
  <si>
    <t>=(1+$N$3)*B3-$N$3*B2-$O$6*D3</t>
  </si>
  <si>
    <t>=(1+$Q$3)*B4+($Q$4-$Q$3)*B3-$Q$4*B2-$R$6*D4+B4</t>
  </si>
  <si>
    <t>=(1+$N$8)*B3-$N$8*B2-$O$11*D3-$O$12*D2+B3</t>
  </si>
  <si>
    <t>=(1+$Q$8)*B4+($Q$9-$Q$8)*B3-$Q$9*B2-$R$11*D4-$R$12*D3+B4</t>
  </si>
  <si>
    <t>=(2+$N$3)*B4-(1+2*$N$3)*B3+$N$3*B2</t>
  </si>
  <si>
    <t>=(2+$Q$3)*B5+($Q$4-2*$Q$3-1)*B4+($Q$3-2*$Q$4)*B3+$Q$4*B2</t>
  </si>
  <si>
    <t>=-$O$6*D3+2*B3-B2</t>
  </si>
  <si>
    <t>=-$O$12*D3-$O$11*D2+2*B3-B2</t>
  </si>
  <si>
    <t>=(2+$N$3)*B4-(1+2*$N$3)*B3+$N$3*B2-$O$6*D4</t>
  </si>
  <si>
    <t>=(2+$Q$3)*B5+($Q$4-2*$Q$3-1)*B4+($Q$3-2*$Q$4)*B3+$Q$4*B2-$R$6*D5+2*B5-B4</t>
  </si>
  <si>
    <t>=(2+$Q$8)*B5+($Q$9-2*$Q$8-1)*B4+($Q$8-2*$Q$9)*B3-$R$11*D5-$R$12*D4+2*B5-B4</t>
  </si>
  <si>
    <t>Number of observations</t>
  </si>
  <si>
    <r>
      <t>Time Series z</t>
    </r>
    <r>
      <rPr>
        <b/>
        <vertAlign val="subscript"/>
        <sz val="11"/>
        <color theme="1"/>
        <rFont val="Calibri"/>
        <family val="2"/>
        <scheme val="minor"/>
      </rPr>
      <t>t</t>
    </r>
  </si>
  <si>
    <r>
      <t xml:space="preserve">Fitted Series </t>
    </r>
    <r>
      <rPr>
        <b/>
        <sz val="11"/>
        <color theme="1"/>
        <rFont val="Calibri"/>
        <family val="2"/>
      </rPr>
      <t>ẑ</t>
    </r>
    <r>
      <rPr>
        <b/>
        <vertAlign val="subscript"/>
        <sz val="8.8000000000000007"/>
        <color theme="1"/>
        <rFont val="Calibri"/>
        <family val="2"/>
      </rPr>
      <t>t</t>
    </r>
  </si>
  <si>
    <r>
      <t xml:space="preserve">Mean </t>
    </r>
    <r>
      <rPr>
        <sz val="11"/>
        <rFont val="Calibri"/>
        <family val="2"/>
      </rPr>
      <t>μ</t>
    </r>
  </si>
  <si>
    <r>
      <t xml:space="preserve">St. Dev. </t>
    </r>
    <r>
      <rPr>
        <sz val="11"/>
        <rFont val="Calibri"/>
        <family val="2"/>
      </rPr>
      <t>σ</t>
    </r>
  </si>
  <si>
    <t>d</t>
  </si>
  <si>
    <r>
      <t xml:space="preserve">Implied </t>
    </r>
    <r>
      <rPr>
        <sz val="11"/>
        <rFont val="Symbol"/>
        <family val="1"/>
        <charset val="2"/>
      </rPr>
      <t>m</t>
    </r>
  </si>
  <si>
    <r>
      <t xml:space="preserve">Otherwise, reconsider, or look more carefully into </t>
    </r>
    <r>
      <rPr>
        <sz val="11"/>
        <color theme="1"/>
        <rFont val="Symbol"/>
        <family val="1"/>
        <charset val="2"/>
      </rPr>
      <t>c</t>
    </r>
    <r>
      <rPr>
        <sz val="11"/>
        <color theme="1"/>
        <rFont val="Calibri"/>
        <family val="2"/>
        <scheme val="minor"/>
      </rPr>
      <t>2.</t>
    </r>
  </si>
  <si>
    <t>(1,0,2)</t>
  </si>
  <si>
    <t>=$N$8*B3-$O$11*D3-$O$13*D2+AVERAGE($B2:$B51)*(1-$N$8)</t>
  </si>
  <si>
    <r>
      <t>ŷ</t>
    </r>
    <r>
      <rPr>
        <vertAlign val="subscript"/>
        <sz val="12"/>
        <color theme="1"/>
        <rFont val="Times New Roman"/>
        <family val="1"/>
      </rPr>
      <t>t</t>
    </r>
    <r>
      <rPr>
        <sz val="12"/>
        <color theme="1"/>
        <rFont val="Times New Roman"/>
        <family val="1"/>
      </rPr>
      <t xml:space="preserve">(1) = </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t>
    </r>
    <r>
      <rPr>
        <sz val="12"/>
        <color theme="1"/>
        <rFont val="Times New Roman"/>
        <family val="1"/>
      </rPr>
      <t xml:space="preserve"> - </t>
    </r>
    <r>
      <rPr>
        <sz val="12"/>
        <color theme="1"/>
        <rFont val="Symbol"/>
        <family val="1"/>
        <charset val="2"/>
      </rPr>
      <t>q</t>
    </r>
    <r>
      <rPr>
        <vertAlign val="subscript"/>
        <sz val="12"/>
        <color theme="1"/>
        <rFont val="Times New Roman"/>
        <family val="1"/>
      </rPr>
      <t>1</t>
    </r>
    <r>
      <rPr>
        <sz val="12"/>
        <color theme="1"/>
        <rFont val="Times New Roman"/>
        <family val="1"/>
      </rPr>
      <t>a</t>
    </r>
    <r>
      <rPr>
        <vertAlign val="subscript"/>
        <sz val="12"/>
        <color theme="1"/>
        <rFont val="Times New Roman"/>
        <family val="1"/>
      </rPr>
      <t>t</t>
    </r>
    <r>
      <rPr>
        <sz val="12"/>
        <color theme="1"/>
        <rFont val="Times New Roman"/>
        <family val="1"/>
      </rPr>
      <t xml:space="preserve"> - </t>
    </r>
    <r>
      <rPr>
        <sz val="12"/>
        <color theme="1"/>
        <rFont val="Symbol"/>
        <family val="1"/>
        <charset val="2"/>
      </rPr>
      <t>q</t>
    </r>
    <r>
      <rPr>
        <vertAlign val="subscript"/>
        <sz val="12"/>
        <color theme="1"/>
        <rFont val="Times New Roman"/>
        <family val="1"/>
      </rPr>
      <t>2</t>
    </r>
    <r>
      <rPr>
        <sz val="12"/>
        <color theme="1"/>
        <rFont val="Times New Roman"/>
        <family val="1"/>
      </rPr>
      <t>a</t>
    </r>
    <r>
      <rPr>
        <vertAlign val="subscript"/>
        <sz val="12"/>
        <color theme="1"/>
        <rFont val="Times New Roman"/>
        <family val="1"/>
      </rPr>
      <t>t-1</t>
    </r>
    <r>
      <rPr>
        <sz val="12"/>
        <color theme="1"/>
        <rFont val="Times New Roman"/>
        <family val="1"/>
      </rPr>
      <t xml:space="preserve"> + ȳ(1-</t>
    </r>
    <r>
      <rPr>
        <sz val="12"/>
        <color theme="1"/>
        <rFont val="Symbol"/>
        <family val="1"/>
        <charset val="2"/>
      </rPr>
      <t>f</t>
    </r>
    <r>
      <rPr>
        <vertAlign val="subscript"/>
        <sz val="12"/>
        <color theme="1"/>
        <rFont val="Times New Roman"/>
        <family val="1"/>
      </rPr>
      <t>1</t>
    </r>
    <r>
      <rPr>
        <sz val="12"/>
        <color theme="1"/>
        <rFont val="Times New Roman"/>
        <family val="1"/>
      </rPr>
      <t>)</t>
    </r>
  </si>
  <si>
    <t>(2,0,1)</t>
  </si>
  <si>
    <t>=$Q$2*B3+$Q$3*B2-$R$6*D3+AVERAGE($B$2:$B$51)*(1-$Q$3-$Q$4)</t>
  </si>
  <si>
    <r>
      <t>ŷ</t>
    </r>
    <r>
      <rPr>
        <vertAlign val="subscript"/>
        <sz val="12"/>
        <color theme="1"/>
        <rFont val="Times New Roman"/>
        <family val="1"/>
      </rPr>
      <t>t</t>
    </r>
    <r>
      <rPr>
        <sz val="12"/>
        <color theme="1"/>
        <rFont val="Times New Roman"/>
        <family val="1"/>
      </rPr>
      <t xml:space="preserve">(1) = </t>
    </r>
    <r>
      <rPr>
        <sz val="12"/>
        <color theme="1"/>
        <rFont val="Symbol"/>
        <family val="1"/>
        <charset val="2"/>
      </rPr>
      <t>f</t>
    </r>
    <r>
      <rPr>
        <vertAlign val="subscript"/>
        <sz val="12"/>
        <color theme="1"/>
        <rFont val="Times New Roman"/>
        <family val="1"/>
      </rPr>
      <t>1</t>
    </r>
    <r>
      <rPr>
        <sz val="12"/>
        <color theme="1"/>
        <rFont val="Times New Roman"/>
        <family val="1"/>
      </rPr>
      <t>y</t>
    </r>
    <r>
      <rPr>
        <vertAlign val="subscript"/>
        <sz val="12"/>
        <color theme="1"/>
        <rFont val="Times New Roman"/>
        <family val="1"/>
      </rPr>
      <t>t</t>
    </r>
    <r>
      <rPr>
        <sz val="12"/>
        <color theme="1"/>
        <rFont val="Times New Roman"/>
        <family val="1"/>
      </rPr>
      <t xml:space="preserve"> + </t>
    </r>
    <r>
      <rPr>
        <sz val="12"/>
        <color theme="1"/>
        <rFont val="Symbol"/>
        <family val="1"/>
        <charset val="2"/>
      </rPr>
      <t>f</t>
    </r>
    <r>
      <rPr>
        <vertAlign val="subscript"/>
        <sz val="12"/>
        <color theme="1"/>
        <rFont val="Times New Roman"/>
        <family val="1"/>
      </rPr>
      <t>2</t>
    </r>
    <r>
      <rPr>
        <sz val="12"/>
        <color theme="1"/>
        <rFont val="Times New Roman"/>
        <family val="1"/>
      </rPr>
      <t>y</t>
    </r>
    <r>
      <rPr>
        <vertAlign val="subscript"/>
        <sz val="12"/>
        <color theme="1"/>
        <rFont val="Times New Roman"/>
        <family val="1"/>
      </rPr>
      <t xml:space="preserve">t-1 </t>
    </r>
    <r>
      <rPr>
        <sz val="12"/>
        <color theme="1"/>
        <rFont val="Times New Roman"/>
        <family val="1"/>
      </rPr>
      <t xml:space="preserve">- </t>
    </r>
    <r>
      <rPr>
        <sz val="12"/>
        <color theme="1"/>
        <rFont val="Symbol"/>
        <family val="1"/>
        <charset val="2"/>
      </rPr>
      <t>q</t>
    </r>
    <r>
      <rPr>
        <vertAlign val="subscript"/>
        <sz val="12"/>
        <color theme="1"/>
        <rFont val="Times New Roman"/>
        <family val="1"/>
      </rPr>
      <t>1</t>
    </r>
    <r>
      <rPr>
        <sz val="12"/>
        <color theme="1"/>
        <rFont val="Times New Roman"/>
        <family val="1"/>
      </rPr>
      <t>a</t>
    </r>
    <r>
      <rPr>
        <vertAlign val="subscript"/>
        <sz val="12"/>
        <color theme="1"/>
        <rFont val="Times New Roman"/>
        <family val="1"/>
      </rPr>
      <t>t</t>
    </r>
    <r>
      <rPr>
        <sz val="12"/>
        <color theme="1"/>
        <rFont val="Times New Roman"/>
        <family val="1"/>
      </rPr>
      <t xml:space="preserve"> </t>
    </r>
    <r>
      <rPr>
        <sz val="12"/>
        <color theme="1"/>
        <rFont val="Times New Roman"/>
        <family val="1"/>
      </rPr>
      <t>+ ȳ(1-</t>
    </r>
    <r>
      <rPr>
        <sz val="12"/>
        <color theme="1"/>
        <rFont val="Symbol"/>
        <family val="1"/>
        <charset val="2"/>
      </rPr>
      <t>f</t>
    </r>
    <r>
      <rPr>
        <vertAlign val="subscript"/>
        <sz val="12"/>
        <color theme="1"/>
        <rFont val="Times New Roman"/>
        <family val="1"/>
      </rPr>
      <t>1</t>
    </r>
    <r>
      <rPr>
        <sz val="12"/>
        <color theme="1"/>
        <rFont val="Times New Roman"/>
        <family val="1"/>
      </rPr>
      <t>-</t>
    </r>
    <r>
      <rPr>
        <sz val="12"/>
        <color theme="1"/>
        <rFont val="Symbol"/>
        <family val="1"/>
        <charset val="2"/>
      </rPr>
      <t>f</t>
    </r>
    <r>
      <rPr>
        <vertAlign val="subscript"/>
        <sz val="12"/>
        <color theme="1"/>
        <rFont val="Times New Roman"/>
        <family val="1"/>
      </rPr>
      <t>2</t>
    </r>
    <r>
      <rPr>
        <sz val="12"/>
        <color theme="1"/>
        <rFont val="Times New Roman"/>
        <family val="1"/>
      </rPr>
      <t>)</t>
    </r>
  </si>
  <si>
    <t>(15.1)</t>
  </si>
  <si>
    <t>(15.2)</t>
  </si>
  <si>
    <t>(15.3)</t>
  </si>
  <si>
    <t>(15.4)</t>
  </si>
  <si>
    <t>(15.5)</t>
  </si>
  <si>
    <t>(15.6)</t>
  </si>
  <si>
    <t>(15.7)</t>
  </si>
  <si>
    <t>(15.8)</t>
  </si>
  <si>
    <t>(15.9)</t>
  </si>
  <si>
    <t>(15.10)</t>
  </si>
  <si>
    <t>(15.11)</t>
  </si>
  <si>
    <t>(15.12)</t>
  </si>
  <si>
    <t>(15.13)</t>
  </si>
  <si>
    <t>(15.14)</t>
  </si>
  <si>
    <t>(15.15)</t>
  </si>
  <si>
    <t>(15.16)</t>
  </si>
  <si>
    <t>(15.17)</t>
  </si>
  <si>
    <t>(15.18)</t>
  </si>
  <si>
    <t>(15.19)</t>
  </si>
  <si>
    <t>(15.20)</t>
  </si>
  <si>
    <t>(15.21)</t>
  </si>
  <si>
    <t>(15.22)</t>
  </si>
  <si>
    <t>(15.23)</t>
  </si>
  <si>
    <r>
      <t>in Sheet "3.Covar!" for θ.</t>
    </r>
    <r>
      <rPr>
        <b/>
        <sz val="11"/>
        <rFont val="Calibri"/>
        <family val="2"/>
        <scheme val="minor"/>
      </rPr>
      <t xml:space="preserve"> Important:</t>
    </r>
    <r>
      <rPr>
        <sz val="11"/>
        <rFont val="Calibri"/>
        <family val="1"/>
        <charset val="2"/>
        <scheme val="minor"/>
      </rPr>
      <t xml:space="preserve"> Put in cells F6:G6 the number</t>
    </r>
  </si>
  <si>
    <t>CI-</t>
  </si>
  <si>
    <t>CI+</t>
  </si>
  <si>
    <r>
      <t xml:space="preserve">Error variance </t>
    </r>
    <r>
      <rPr>
        <sz val="11"/>
        <color theme="1"/>
        <rFont val="Calibri"/>
        <family val="2"/>
      </rPr>
      <t>σ</t>
    </r>
    <r>
      <rPr>
        <vertAlign val="subscript"/>
        <sz val="11"/>
        <color theme="1"/>
        <rFont val="Calibri"/>
        <family val="2"/>
      </rPr>
      <t>ê</t>
    </r>
    <r>
      <rPr>
        <vertAlign val="superscript"/>
        <sz val="11"/>
        <color theme="1"/>
        <rFont val="Calibri"/>
        <family val="2"/>
      </rPr>
      <t>2</t>
    </r>
    <r>
      <rPr>
        <sz val="11"/>
        <color theme="1"/>
        <rFont val="Calibri"/>
        <family val="2"/>
      </rPr>
      <t>:</t>
    </r>
  </si>
  <si>
    <t>Psi</t>
  </si>
  <si>
    <t>ARMA(1,0,1)</t>
  </si>
  <si>
    <t>Formula</t>
  </si>
  <si>
    <r>
      <t xml:space="preserve">Varance (excluding </t>
    </r>
    <r>
      <rPr>
        <sz val="11"/>
        <color theme="1"/>
        <rFont val="Symbol"/>
        <family val="1"/>
        <charset val="2"/>
      </rPr>
      <t>s</t>
    </r>
    <r>
      <rPr>
        <vertAlign val="subscript"/>
        <sz val="11"/>
        <color theme="1"/>
        <rFont val="Calibri"/>
        <family val="2"/>
        <scheme val="minor"/>
      </rPr>
      <t>a</t>
    </r>
    <r>
      <rPr>
        <vertAlign val="superscript"/>
        <sz val="11"/>
        <color theme="1"/>
        <rFont val="Calibri"/>
        <family val="2"/>
        <scheme val="minor"/>
      </rPr>
      <t>2</t>
    </r>
    <r>
      <rPr>
        <sz val="11"/>
        <color theme="1"/>
        <rFont val="Calibri"/>
        <family val="2"/>
        <scheme val="minor"/>
      </rPr>
      <t>)</t>
    </r>
  </si>
  <si>
    <r>
      <t>y</t>
    </r>
    <r>
      <rPr>
        <vertAlign val="subscript"/>
        <sz val="12"/>
        <color theme="1"/>
        <rFont val="Times New Roman"/>
        <family val="1"/>
      </rPr>
      <t>0</t>
    </r>
    <r>
      <rPr>
        <sz val="12"/>
        <color theme="1"/>
        <rFont val="Times New Roman"/>
        <family val="1"/>
      </rPr>
      <t xml:space="preserve"> = 1</t>
    </r>
  </si>
  <si>
    <r>
      <t>y</t>
    </r>
    <r>
      <rPr>
        <vertAlign val="subscript"/>
        <sz val="12"/>
        <color theme="1"/>
        <rFont val="Times New Roman"/>
        <family val="1"/>
      </rPr>
      <t>1</t>
    </r>
    <r>
      <rPr>
        <sz val="12"/>
        <color theme="1"/>
        <rFont val="Times New Roman"/>
        <family val="1"/>
      </rPr>
      <t xml:space="preserve"> = </t>
    </r>
    <r>
      <rPr>
        <sz val="12"/>
        <color theme="1"/>
        <rFont val="Symbol"/>
        <family val="1"/>
        <charset val="2"/>
      </rPr>
      <t>f</t>
    </r>
    <r>
      <rPr>
        <vertAlign val="subscript"/>
        <sz val="12"/>
        <color theme="1"/>
        <rFont val="Times New Roman"/>
        <family val="1"/>
      </rPr>
      <t>1</t>
    </r>
    <r>
      <rPr>
        <sz val="12"/>
        <color theme="1"/>
        <rFont val="Times New Roman"/>
        <family val="1"/>
      </rPr>
      <t xml:space="preserve"> – θ</t>
    </r>
    <r>
      <rPr>
        <vertAlign val="subscript"/>
        <sz val="12"/>
        <color theme="1"/>
        <rFont val="Times New Roman"/>
        <family val="1"/>
      </rPr>
      <t>1</t>
    </r>
  </si>
  <si>
    <r>
      <t>y</t>
    </r>
    <r>
      <rPr>
        <vertAlign val="subscript"/>
        <sz val="12"/>
        <color theme="1"/>
        <rFont val="Times New Roman"/>
        <family val="1"/>
      </rPr>
      <t>2</t>
    </r>
    <r>
      <rPr>
        <sz val="12"/>
        <color theme="1"/>
        <rFont val="Times New Roman"/>
        <family val="1"/>
      </rPr>
      <t xml:space="preserve"> = </t>
    </r>
    <r>
      <rPr>
        <sz val="12"/>
        <color theme="1"/>
        <rFont val="Symbol"/>
        <family val="1"/>
        <charset val="2"/>
      </rPr>
      <t>f</t>
    </r>
    <r>
      <rPr>
        <vertAlign val="subscript"/>
        <sz val="12"/>
        <color theme="1"/>
        <rFont val="Times New Roman"/>
        <family val="1"/>
      </rPr>
      <t>1</t>
    </r>
    <r>
      <rPr>
        <sz val="12"/>
        <color theme="1"/>
        <rFont val="Symbol"/>
        <family val="1"/>
        <charset val="2"/>
      </rPr>
      <t>y</t>
    </r>
    <r>
      <rPr>
        <vertAlign val="subscript"/>
        <sz val="12"/>
        <color theme="1"/>
        <rFont val="Times New Roman"/>
        <family val="1"/>
      </rPr>
      <t>1</t>
    </r>
    <r>
      <rPr>
        <sz val="12"/>
        <color theme="1"/>
        <rFont val="Times New Roman"/>
        <family val="1"/>
      </rPr>
      <t/>
    </r>
  </si>
  <si>
    <r>
      <t>y</t>
    </r>
    <r>
      <rPr>
        <vertAlign val="subscript"/>
        <sz val="12"/>
        <color theme="1"/>
        <rFont val="Times New Roman"/>
        <family val="1"/>
      </rPr>
      <t>3</t>
    </r>
    <r>
      <rPr>
        <sz val="12"/>
        <color theme="1"/>
        <rFont val="Times New Roman"/>
        <family val="1"/>
      </rPr>
      <t xml:space="preserve"> = </t>
    </r>
    <r>
      <rPr>
        <sz val="12"/>
        <color theme="1"/>
        <rFont val="Symbol"/>
        <family val="1"/>
        <charset val="2"/>
      </rPr>
      <t>f</t>
    </r>
    <r>
      <rPr>
        <vertAlign val="subscript"/>
        <sz val="12"/>
        <color theme="1"/>
        <rFont val="Times New Roman"/>
        <family val="1"/>
      </rPr>
      <t>1</t>
    </r>
    <r>
      <rPr>
        <sz val="12"/>
        <color theme="1"/>
        <rFont val="Symbol"/>
        <family val="1"/>
        <charset val="2"/>
      </rPr>
      <t>y</t>
    </r>
    <r>
      <rPr>
        <vertAlign val="subscript"/>
        <sz val="12"/>
        <color theme="1"/>
        <rFont val="Times New Roman"/>
        <family val="1"/>
      </rPr>
      <t>2</t>
    </r>
    <r>
      <rPr>
        <sz val="12"/>
        <color theme="1"/>
        <rFont val="Times New Roman"/>
        <family val="1"/>
      </rPr>
      <t/>
    </r>
  </si>
  <si>
    <r>
      <t>y</t>
    </r>
    <r>
      <rPr>
        <vertAlign val="subscript"/>
        <sz val="12"/>
        <color theme="1"/>
        <rFont val="Symbol"/>
        <family val="1"/>
        <charset val="2"/>
      </rPr>
      <t>4</t>
    </r>
    <r>
      <rPr>
        <sz val="12"/>
        <color theme="1"/>
        <rFont val="Times New Roman"/>
        <family val="1"/>
      </rPr>
      <t xml:space="preserve"> = </t>
    </r>
    <r>
      <rPr>
        <sz val="12"/>
        <color theme="1"/>
        <rFont val="Symbol"/>
        <family val="1"/>
        <charset val="2"/>
      </rPr>
      <t>f</t>
    </r>
    <r>
      <rPr>
        <vertAlign val="subscript"/>
        <sz val="12"/>
        <color theme="1"/>
        <rFont val="Times New Roman"/>
        <family val="1"/>
      </rPr>
      <t>1</t>
    </r>
    <r>
      <rPr>
        <sz val="12"/>
        <color theme="1"/>
        <rFont val="Symbol"/>
        <family val="1"/>
        <charset val="2"/>
      </rPr>
      <t>y</t>
    </r>
    <r>
      <rPr>
        <vertAlign val="subscript"/>
        <sz val="12"/>
        <color theme="1"/>
        <rFont val="Times New Roman"/>
        <family val="1"/>
      </rPr>
      <t>3</t>
    </r>
  </si>
  <si>
    <r>
      <t>y</t>
    </r>
    <r>
      <rPr>
        <vertAlign val="subscript"/>
        <sz val="12"/>
        <color theme="1"/>
        <rFont val="Symbol"/>
        <family val="1"/>
        <charset val="2"/>
      </rPr>
      <t>4</t>
    </r>
    <r>
      <rPr>
        <sz val="12"/>
        <color theme="1"/>
        <rFont val="Times New Roman"/>
        <family val="1"/>
      </rPr>
      <t xml:space="preserve"> = </t>
    </r>
    <r>
      <rPr>
        <sz val="12"/>
        <color theme="1"/>
        <rFont val="Symbol"/>
        <family val="1"/>
        <charset val="2"/>
      </rPr>
      <t>f</t>
    </r>
    <r>
      <rPr>
        <vertAlign val="subscript"/>
        <sz val="12"/>
        <color theme="1"/>
        <rFont val="Times New Roman"/>
        <family val="1"/>
      </rPr>
      <t>1</t>
    </r>
    <r>
      <rPr>
        <sz val="12"/>
        <color theme="1"/>
        <rFont val="Symbol"/>
        <family val="1"/>
        <charset val="2"/>
      </rPr>
      <t>y</t>
    </r>
    <r>
      <rPr>
        <vertAlign val="subscript"/>
        <sz val="12"/>
        <color theme="1"/>
        <rFont val="Times New Roman"/>
        <family val="1"/>
      </rPr>
      <t>4</t>
    </r>
    <r>
      <rPr>
        <sz val="11"/>
        <color theme="1"/>
        <rFont val="Calibri"/>
        <family val="2"/>
        <scheme val="minor"/>
      </rPr>
      <t/>
    </r>
  </si>
  <si>
    <r>
      <t>y</t>
    </r>
    <r>
      <rPr>
        <vertAlign val="subscript"/>
        <sz val="12"/>
        <color theme="1"/>
        <rFont val="Symbol"/>
        <family val="1"/>
        <charset val="2"/>
      </rPr>
      <t>4</t>
    </r>
    <r>
      <rPr>
        <sz val="12"/>
        <color theme="1"/>
        <rFont val="Times New Roman"/>
        <family val="1"/>
      </rPr>
      <t xml:space="preserve"> = </t>
    </r>
    <r>
      <rPr>
        <sz val="12"/>
        <color theme="1"/>
        <rFont val="Symbol"/>
        <family val="1"/>
        <charset val="2"/>
      </rPr>
      <t>f</t>
    </r>
    <r>
      <rPr>
        <vertAlign val="subscript"/>
        <sz val="12"/>
        <color theme="1"/>
        <rFont val="Times New Roman"/>
        <family val="1"/>
      </rPr>
      <t>1</t>
    </r>
    <r>
      <rPr>
        <sz val="12"/>
        <color theme="1"/>
        <rFont val="Symbol"/>
        <family val="1"/>
        <charset val="2"/>
      </rPr>
      <t>y</t>
    </r>
    <r>
      <rPr>
        <vertAlign val="subscript"/>
        <sz val="12"/>
        <color theme="1"/>
        <rFont val="Times New Roman"/>
        <family val="1"/>
      </rPr>
      <t>5</t>
    </r>
    <r>
      <rPr>
        <sz val="11"/>
        <color theme="1"/>
        <rFont val="Calibri"/>
        <family val="2"/>
        <scheme val="minor"/>
      </rPr>
      <t/>
    </r>
  </si>
  <si>
    <r>
      <t>y</t>
    </r>
    <r>
      <rPr>
        <vertAlign val="subscript"/>
        <sz val="12"/>
        <color theme="1"/>
        <rFont val="Symbol"/>
        <family val="1"/>
        <charset val="2"/>
      </rPr>
      <t>4</t>
    </r>
    <r>
      <rPr>
        <sz val="12"/>
        <color theme="1"/>
        <rFont val="Times New Roman"/>
        <family val="1"/>
      </rPr>
      <t xml:space="preserve"> = </t>
    </r>
    <r>
      <rPr>
        <sz val="12"/>
        <color theme="1"/>
        <rFont val="Symbol"/>
        <family val="1"/>
        <charset val="2"/>
      </rPr>
      <t>f</t>
    </r>
    <r>
      <rPr>
        <vertAlign val="subscript"/>
        <sz val="12"/>
        <color theme="1"/>
        <rFont val="Times New Roman"/>
        <family val="1"/>
      </rPr>
      <t>1</t>
    </r>
    <r>
      <rPr>
        <sz val="12"/>
        <color theme="1"/>
        <rFont val="Symbol"/>
        <family val="1"/>
        <charset val="2"/>
      </rPr>
      <t>y</t>
    </r>
    <r>
      <rPr>
        <vertAlign val="subscript"/>
        <sz val="12"/>
        <color theme="1"/>
        <rFont val="Times New Roman"/>
        <family val="1"/>
      </rPr>
      <t>6</t>
    </r>
    <r>
      <rPr>
        <sz val="11"/>
        <color theme="1"/>
        <rFont val="Calibri"/>
        <family val="2"/>
        <scheme val="minor"/>
      </rPr>
      <t/>
    </r>
  </si>
  <si>
    <r>
      <t>y</t>
    </r>
    <r>
      <rPr>
        <vertAlign val="subscript"/>
        <sz val="12"/>
        <color theme="1"/>
        <rFont val="Symbol"/>
        <family val="1"/>
        <charset val="2"/>
      </rPr>
      <t>4</t>
    </r>
    <r>
      <rPr>
        <sz val="12"/>
        <color theme="1"/>
        <rFont val="Times New Roman"/>
        <family val="1"/>
      </rPr>
      <t xml:space="preserve"> = </t>
    </r>
    <r>
      <rPr>
        <sz val="12"/>
        <color theme="1"/>
        <rFont val="Symbol"/>
        <family val="1"/>
        <charset val="2"/>
      </rPr>
      <t>f</t>
    </r>
    <r>
      <rPr>
        <vertAlign val="subscript"/>
        <sz val="12"/>
        <color theme="1"/>
        <rFont val="Times New Roman"/>
        <family val="1"/>
      </rPr>
      <t>1</t>
    </r>
    <r>
      <rPr>
        <sz val="12"/>
        <color theme="1"/>
        <rFont val="Symbol"/>
        <family val="1"/>
        <charset val="2"/>
      </rPr>
      <t>y</t>
    </r>
    <r>
      <rPr>
        <vertAlign val="subscript"/>
        <sz val="12"/>
        <color theme="1"/>
        <rFont val="Times New Roman"/>
        <family val="1"/>
      </rPr>
      <t>7</t>
    </r>
    <r>
      <rPr>
        <sz val="11"/>
        <color theme="1"/>
        <rFont val="Calibri"/>
        <family val="2"/>
        <scheme val="minor"/>
      </rPr>
      <t/>
    </r>
  </si>
  <si>
    <r>
      <t>y</t>
    </r>
    <r>
      <rPr>
        <vertAlign val="subscript"/>
        <sz val="12"/>
        <color theme="1"/>
        <rFont val="Symbol"/>
        <family val="1"/>
        <charset val="2"/>
      </rPr>
      <t>4</t>
    </r>
    <r>
      <rPr>
        <sz val="12"/>
        <color theme="1"/>
        <rFont val="Times New Roman"/>
        <family val="1"/>
      </rPr>
      <t xml:space="preserve"> = </t>
    </r>
    <r>
      <rPr>
        <sz val="12"/>
        <color theme="1"/>
        <rFont val="Symbol"/>
        <family val="1"/>
        <charset val="2"/>
      </rPr>
      <t>f</t>
    </r>
    <r>
      <rPr>
        <vertAlign val="subscript"/>
        <sz val="12"/>
        <color theme="1"/>
        <rFont val="Times New Roman"/>
        <family val="1"/>
      </rPr>
      <t>1</t>
    </r>
    <r>
      <rPr>
        <sz val="12"/>
        <color theme="1"/>
        <rFont val="Symbol"/>
        <family val="1"/>
        <charset val="2"/>
      </rPr>
      <t>y</t>
    </r>
    <r>
      <rPr>
        <vertAlign val="subscript"/>
        <sz val="12"/>
        <color theme="1"/>
        <rFont val="Times New Roman"/>
        <family val="1"/>
      </rPr>
      <t>8</t>
    </r>
    <r>
      <rPr>
        <sz val="11"/>
        <color theme="1"/>
        <rFont val="Calibri"/>
        <family val="2"/>
        <scheme val="minor"/>
      </rPr>
      <t/>
    </r>
  </si>
  <si>
    <r>
      <t>y</t>
    </r>
    <r>
      <rPr>
        <vertAlign val="subscript"/>
        <sz val="12"/>
        <color theme="1"/>
        <rFont val="Symbol"/>
        <family val="1"/>
        <charset val="2"/>
      </rPr>
      <t>4</t>
    </r>
    <r>
      <rPr>
        <sz val="12"/>
        <color theme="1"/>
        <rFont val="Times New Roman"/>
        <family val="1"/>
      </rPr>
      <t xml:space="preserve"> = </t>
    </r>
    <r>
      <rPr>
        <sz val="12"/>
        <color theme="1"/>
        <rFont val="Symbol"/>
        <family val="1"/>
        <charset val="2"/>
      </rPr>
      <t>f</t>
    </r>
    <r>
      <rPr>
        <vertAlign val="subscript"/>
        <sz val="12"/>
        <color theme="1"/>
        <rFont val="Times New Roman"/>
        <family val="1"/>
      </rPr>
      <t>1</t>
    </r>
    <r>
      <rPr>
        <sz val="12"/>
        <color theme="1"/>
        <rFont val="Symbol"/>
        <family val="1"/>
        <charset val="2"/>
      </rPr>
      <t>y</t>
    </r>
    <r>
      <rPr>
        <vertAlign val="subscript"/>
        <sz val="12"/>
        <color theme="1"/>
        <rFont val="Times New Roman"/>
        <family val="1"/>
      </rPr>
      <t>9</t>
    </r>
    <r>
      <rPr>
        <sz val="11"/>
        <color theme="1"/>
        <rFont val="Calibri"/>
        <family val="2"/>
        <scheme val="minor"/>
      </rPr>
      <t/>
    </r>
  </si>
  <si>
    <t>Confid.</t>
  </si>
  <si>
    <r>
      <t xml:space="preserve">z-value (or </t>
    </r>
    <r>
      <rPr>
        <sz val="12"/>
        <color theme="1"/>
        <rFont val="Symbol"/>
        <family val="1"/>
        <charset val="2"/>
      </rPr>
      <t>e</t>
    </r>
    <r>
      <rPr>
        <vertAlign val="subscript"/>
        <sz val="12"/>
        <color theme="1"/>
        <rFont val="Symbol"/>
        <family val="1"/>
        <charset val="2"/>
      </rPr>
      <t>a/2</t>
    </r>
    <r>
      <rPr>
        <sz val="12"/>
        <color theme="1"/>
        <rFont val="Symbol"/>
        <family val="1"/>
        <charset val="2"/>
      </rPr>
      <t>)</t>
    </r>
  </si>
  <si>
    <r>
      <t>d</t>
    </r>
    <r>
      <rPr>
        <vertAlign val="subscript"/>
        <sz val="11"/>
        <color theme="1"/>
        <rFont val="Calibri"/>
        <family val="2"/>
        <scheme val="minor"/>
      </rPr>
      <t>U</t>
    </r>
  </si>
  <si>
    <r>
      <t>d</t>
    </r>
    <r>
      <rPr>
        <vertAlign val="subscript"/>
        <sz val="11"/>
        <color theme="1"/>
        <rFont val="Calibri"/>
        <family val="2"/>
        <scheme val="minor"/>
      </rPr>
      <t>L</t>
    </r>
  </si>
  <si>
    <t>Q'-Stat</t>
  </si>
  <si>
    <t>A rule of thumb: If Q&lt;df (D27&lt;E3), then the residuals are likely random.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</si>
</sst>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000"/>
    <numFmt numFmtId="167" formatCode="0.000000"/>
  </numFmts>
  <fonts count="54">
    <font>
      <sz val="11"/>
      <color theme="1"/>
      <name val="Calibri"/>
      <family val="2"/>
      <scheme val="minor"/>
    </font>
    <font>
      <b/>
      <sz val="11"/>
      <color theme="1"/>
      <name val="Calibri"/>
      <family val="2"/>
      <scheme val="minor"/>
    </font>
    <font>
      <u/>
      <sz val="11"/>
      <color theme="1"/>
      <name val="Calibri"/>
      <family val="2"/>
      <scheme val="minor"/>
    </font>
    <font>
      <b/>
      <u/>
      <sz val="11"/>
      <color theme="1"/>
      <name val="Calibri"/>
      <family val="2"/>
      <scheme val="minor"/>
    </font>
    <font>
      <b/>
      <sz val="12"/>
      <color theme="1"/>
      <name val="Times New Roman"/>
      <family val="1"/>
    </font>
    <font>
      <sz val="12"/>
      <color theme="1"/>
      <name val="Times New Roman"/>
      <family val="1"/>
    </font>
    <font>
      <vertAlign val="subscript"/>
      <sz val="12"/>
      <color theme="1"/>
      <name val="Times New Roman"/>
      <family val="1"/>
    </font>
    <font>
      <sz val="12"/>
      <color theme="1"/>
      <name val="Symbol"/>
      <family val="1"/>
      <charset val="2"/>
    </font>
    <font>
      <vertAlign val="subscript"/>
      <sz val="11"/>
      <color theme="1"/>
      <name val="Calibri"/>
      <family val="2"/>
      <scheme val="minor"/>
    </font>
    <font>
      <b/>
      <sz val="12"/>
      <color theme="1"/>
      <name val="Calibri"/>
      <family val="2"/>
      <scheme val="minor"/>
    </font>
    <font>
      <sz val="12"/>
      <color theme="1"/>
      <name val="Times New Roman"/>
      <family val="1"/>
      <charset val="2"/>
    </font>
    <font>
      <sz val="12"/>
      <color theme="1"/>
      <name val="Calibri"/>
      <family val="2"/>
      <scheme val="minor"/>
    </font>
    <font>
      <vertAlign val="subscript"/>
      <sz val="12"/>
      <color theme="1"/>
      <name val="Calibri"/>
      <family val="2"/>
      <scheme val="minor"/>
    </font>
    <font>
      <vertAlign val="superscript"/>
      <sz val="11"/>
      <color theme="1"/>
      <name val="Calibri"/>
      <family val="2"/>
      <scheme val="minor"/>
    </font>
    <font>
      <sz val="12"/>
      <color theme="1"/>
      <name val="Symbol"/>
      <family val="2"/>
      <charset val="2"/>
    </font>
    <font>
      <vertAlign val="subscript"/>
      <sz val="12"/>
      <color theme="1"/>
      <name val="Symbol"/>
      <family val="1"/>
      <charset val="2"/>
    </font>
    <font>
      <vertAlign val="superscript"/>
      <sz val="12"/>
      <color theme="1"/>
      <name val="Symbol"/>
      <family val="1"/>
      <charset val="2"/>
    </font>
    <font>
      <b/>
      <sz val="11"/>
      <color theme="0"/>
      <name val="Calibri"/>
      <family val="2"/>
      <scheme val="minor"/>
    </font>
    <font>
      <sz val="11"/>
      <color theme="0"/>
      <name val="Calibri"/>
      <family val="2"/>
      <scheme val="minor"/>
    </font>
    <font>
      <sz val="11"/>
      <color theme="1"/>
      <name val="Symbol"/>
      <family val="1"/>
      <charset val="2"/>
    </font>
    <font>
      <vertAlign val="subscript"/>
      <sz val="11"/>
      <color theme="1"/>
      <name val="Symbol"/>
      <family val="1"/>
      <charset val="2"/>
    </font>
    <font>
      <vertAlign val="superscript"/>
      <sz val="11"/>
      <color theme="1"/>
      <name val="Symbol"/>
      <family val="1"/>
      <charset val="2"/>
    </font>
    <font>
      <sz val="11"/>
      <name val="Calibri"/>
      <family val="2"/>
      <scheme val="minor"/>
    </font>
    <font>
      <b/>
      <sz val="11"/>
      <name val="Calibri"/>
      <family val="2"/>
      <scheme val="minor"/>
    </font>
    <font>
      <sz val="10"/>
      <name val="Arial"/>
      <family val="2"/>
    </font>
    <font>
      <vertAlign val="subscript"/>
      <sz val="11"/>
      <name val="Calibri"/>
      <family val="2"/>
      <scheme val="minor"/>
    </font>
    <font>
      <b/>
      <vertAlign val="subscript"/>
      <sz val="11"/>
      <name val="Calibri"/>
      <family val="2"/>
      <scheme val="minor"/>
    </font>
    <font>
      <b/>
      <sz val="11"/>
      <name val="Symbol"/>
      <family val="1"/>
      <charset val="2"/>
    </font>
    <font>
      <sz val="11"/>
      <name val="Calibri"/>
      <family val="2"/>
    </font>
    <font>
      <sz val="11"/>
      <name val="Symbol"/>
      <family val="2"/>
      <charset val="2"/>
    </font>
    <font>
      <sz val="11"/>
      <name val="Symbol"/>
      <family val="1"/>
      <charset val="2"/>
    </font>
    <font>
      <sz val="10"/>
      <color theme="0"/>
      <name val="Arial"/>
      <family val="2"/>
    </font>
    <font>
      <sz val="11"/>
      <name val="Calibri"/>
      <family val="1"/>
      <charset val="2"/>
      <scheme val="minor"/>
    </font>
    <font>
      <b/>
      <sz val="10"/>
      <name val="Arial"/>
      <family val="2"/>
    </font>
    <font>
      <sz val="11"/>
      <name val="Arial"/>
      <family val="2"/>
    </font>
    <font>
      <b/>
      <u/>
      <sz val="11"/>
      <color theme="1"/>
      <name val="Symbol"/>
      <family val="1"/>
      <charset val="2"/>
    </font>
    <font>
      <b/>
      <sz val="11"/>
      <color theme="1"/>
      <name val="Calibri"/>
      <family val="2"/>
    </font>
    <font>
      <b/>
      <vertAlign val="subscript"/>
      <sz val="11"/>
      <color theme="1"/>
      <name val="Calibri"/>
      <family val="2"/>
    </font>
    <font>
      <i/>
      <sz val="11"/>
      <color theme="1"/>
      <name val="Calibri"/>
      <family val="2"/>
      <scheme val="minor"/>
    </font>
    <font>
      <i/>
      <sz val="11"/>
      <name val="Calibri"/>
      <family val="2"/>
      <scheme val="minor"/>
    </font>
    <font>
      <sz val="8.8000000000000007"/>
      <name val="Calibri"/>
      <family val="1"/>
      <charset val="2"/>
    </font>
    <font>
      <sz val="8.8000000000000007"/>
      <name val="Calibri"/>
      <family val="2"/>
    </font>
    <font>
      <sz val="11"/>
      <color theme="1"/>
      <name val="Calibri"/>
      <family val="2"/>
    </font>
    <font>
      <sz val="14"/>
      <color theme="1"/>
      <name val="Calibri"/>
      <family val="2"/>
      <scheme val="minor"/>
    </font>
    <font>
      <sz val="18"/>
      <color theme="1"/>
      <name val="Calibri"/>
      <family val="2"/>
      <scheme val="minor"/>
    </font>
    <font>
      <b/>
      <u/>
      <sz val="18"/>
      <color theme="1"/>
      <name val="Calibri"/>
      <family val="2"/>
      <scheme val="minor"/>
    </font>
    <font>
      <vertAlign val="subscript"/>
      <sz val="11"/>
      <color theme="1"/>
      <name val="Calibri"/>
      <family val="2"/>
    </font>
    <font>
      <b/>
      <vertAlign val="superscript"/>
      <sz val="11"/>
      <name val="Calibri"/>
      <family val="2"/>
      <scheme val="minor"/>
    </font>
    <font>
      <b/>
      <u/>
      <sz val="12"/>
      <color theme="1"/>
      <name val="Times New Roman"/>
      <family val="1"/>
    </font>
    <font>
      <i/>
      <sz val="12"/>
      <color theme="1"/>
      <name val="Times New Roman"/>
      <family val="1"/>
    </font>
    <font>
      <sz val="12"/>
      <color theme="1"/>
      <name val="Calibri"/>
      <family val="2"/>
    </font>
    <font>
      <b/>
      <vertAlign val="subscript"/>
      <sz val="11"/>
      <color theme="1"/>
      <name val="Calibri"/>
      <family val="2"/>
      <scheme val="minor"/>
    </font>
    <font>
      <b/>
      <vertAlign val="subscript"/>
      <sz val="8.8000000000000007"/>
      <color theme="1"/>
      <name val="Calibri"/>
      <family val="2"/>
    </font>
    <font>
      <vertAlign val="superscript"/>
      <sz val="11"/>
      <color theme="1"/>
      <name val="Calibri"/>
      <family val="2"/>
    </font>
  </fonts>
  <fills count="20">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FFC000"/>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7" tint="0.39997558519241921"/>
        <bgColor indexed="64"/>
      </patternFill>
    </fill>
    <fill>
      <patternFill patternType="solid">
        <fgColor theme="7"/>
        <bgColor indexed="64"/>
      </patternFill>
    </fill>
    <fill>
      <patternFill patternType="solid">
        <fgColor theme="0" tint="-0.14999847407452621"/>
        <bgColor indexed="64"/>
      </patternFill>
    </fill>
    <fill>
      <patternFill patternType="solid">
        <fgColor rgb="FF00B0F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327">
    <xf numFmtId="0" fontId="0" fillId="0" borderId="0" xfId="0"/>
    <xf numFmtId="0" fontId="1" fillId="0" borderId="0" xfId="0" applyFont="1"/>
    <xf numFmtId="0" fontId="0" fillId="2" borderId="0" xfId="0" applyFill="1"/>
    <xf numFmtId="0" fontId="0" fillId="2" borderId="0" xfId="0" quotePrefix="1" applyFill="1"/>
    <xf numFmtId="0" fontId="0" fillId="3" borderId="0" xfId="0" applyFill="1"/>
    <xf numFmtId="0" fontId="0" fillId="3" borderId="0" xfId="0" quotePrefix="1" applyFill="1"/>
    <xf numFmtId="0" fontId="2" fillId="2" borderId="0" xfId="0" applyFont="1" applyFill="1"/>
    <xf numFmtId="0" fontId="3" fillId="2" borderId="0" xfId="0" applyFont="1" applyFill="1"/>
    <xf numFmtId="0" fontId="2" fillId="3" borderId="0" xfId="0" applyFont="1" applyFill="1"/>
    <xf numFmtId="0" fontId="3" fillId="3" borderId="0" xfId="0" applyFont="1" applyFill="1"/>
    <xf numFmtId="0" fontId="4" fillId="0" borderId="0" xfId="0" applyFont="1" applyAlignment="1">
      <alignment vertical="center"/>
    </xf>
    <xf numFmtId="0" fontId="5" fillId="0" borderId="0" xfId="0" applyFont="1" applyAlignment="1">
      <alignment vertical="center"/>
    </xf>
    <xf numFmtId="0" fontId="10" fillId="0" borderId="0" xfId="0" applyFont="1" applyAlignment="1">
      <alignment vertical="center"/>
    </xf>
    <xf numFmtId="0" fontId="5" fillId="2" borderId="0" xfId="0" applyFont="1" applyFill="1"/>
    <xf numFmtId="0" fontId="7" fillId="2" borderId="0" xfId="0" applyFont="1" applyFill="1"/>
    <xf numFmtId="0" fontId="0" fillId="0" borderId="0" xfId="0" applyFont="1"/>
    <xf numFmtId="0" fontId="0" fillId="0" borderId="0" xfId="0" applyFill="1"/>
    <xf numFmtId="0" fontId="3" fillId="2" borderId="0" xfId="0" applyFont="1" applyFill="1" applyAlignment="1">
      <alignment vertical="center"/>
    </xf>
    <xf numFmtId="0" fontId="9" fillId="2" borderId="1" xfId="0" applyFont="1" applyFill="1" applyBorder="1"/>
    <xf numFmtId="0" fontId="0" fillId="2" borderId="1" xfId="0" applyFill="1" applyBorder="1"/>
    <xf numFmtId="0" fontId="0" fillId="2" borderId="0" xfId="0" applyFont="1" applyFill="1"/>
    <xf numFmtId="0" fontId="0" fillId="2" borderId="2" xfId="0" applyFont="1" applyFill="1" applyBorder="1"/>
    <xf numFmtId="0" fontId="5" fillId="3" borderId="0" xfId="0" applyFont="1" applyFill="1"/>
    <xf numFmtId="0" fontId="0" fillId="2" borderId="2" xfId="0" applyFill="1" applyBorder="1"/>
    <xf numFmtId="0" fontId="0" fillId="3" borderId="2" xfId="0" applyFill="1" applyBorder="1"/>
    <xf numFmtId="0" fontId="0" fillId="3" borderId="1" xfId="0" applyFill="1" applyBorder="1"/>
    <xf numFmtId="0" fontId="1" fillId="2" borderId="3" xfId="0" applyFont="1" applyFill="1" applyBorder="1"/>
    <xf numFmtId="0" fontId="0" fillId="3" borderId="0" xfId="0" applyFont="1" applyFill="1"/>
    <xf numFmtId="0" fontId="1" fillId="3" borderId="3" xfId="0" applyFont="1" applyFill="1" applyBorder="1"/>
    <xf numFmtId="0" fontId="3" fillId="3" borderId="0" xfId="0" applyFont="1" applyFill="1" applyAlignment="1">
      <alignment vertical="center"/>
    </xf>
    <xf numFmtId="0" fontId="14" fillId="2" borderId="0" xfId="0" applyFont="1" applyFill="1" applyAlignment="1">
      <alignment vertical="center"/>
    </xf>
    <xf numFmtId="0" fontId="14" fillId="3" borderId="0" xfId="0" applyFont="1" applyFill="1" applyAlignment="1">
      <alignment vertical="center"/>
    </xf>
    <xf numFmtId="0" fontId="19" fillId="2" borderId="0" xfId="0" applyFont="1" applyFill="1"/>
    <xf numFmtId="0" fontId="19" fillId="3" borderId="0" xfId="0" applyFont="1" applyFill="1"/>
    <xf numFmtId="164" fontId="22" fillId="0" borderId="0" xfId="0" applyNumberFormat="1" applyFont="1"/>
    <xf numFmtId="2" fontId="22" fillId="0" borderId="0" xfId="0" applyNumberFormat="1" applyFont="1" applyAlignment="1">
      <alignment horizontal="center"/>
    </xf>
    <xf numFmtId="2" fontId="22" fillId="0" borderId="0" xfId="0" quotePrefix="1" applyNumberFormat="1" applyFont="1"/>
    <xf numFmtId="2" fontId="0" fillId="0" borderId="0" xfId="0" applyNumberFormat="1"/>
    <xf numFmtId="0" fontId="22" fillId="0" borderId="0" xfId="0" applyFont="1" applyAlignment="1">
      <alignment horizontal="center"/>
    </xf>
    <xf numFmtId="164" fontId="23" fillId="0" borderId="0" xfId="0" applyNumberFormat="1" applyFont="1"/>
    <xf numFmtId="164" fontId="22" fillId="0" borderId="0" xfId="0" quotePrefix="1" applyNumberFormat="1" applyFont="1"/>
    <xf numFmtId="164" fontId="22" fillId="0" borderId="0" xfId="0" applyNumberFormat="1" applyFont="1" applyBorder="1"/>
    <xf numFmtId="164" fontId="24" fillId="0" borderId="0" xfId="0" quotePrefix="1" applyNumberFormat="1" applyFont="1" applyFill="1"/>
    <xf numFmtId="0" fontId="22" fillId="0" borderId="0" xfId="0" applyFont="1" applyAlignment="1">
      <alignment horizontal="center" vertical="center"/>
    </xf>
    <xf numFmtId="0" fontId="22" fillId="0" borderId="0" xfId="0" applyFont="1"/>
    <xf numFmtId="0" fontId="22" fillId="0" borderId="0" xfId="0" applyFont="1" applyBorder="1" applyAlignment="1">
      <alignment horizontal="center"/>
    </xf>
    <xf numFmtId="164" fontId="23" fillId="0" borderId="0" xfId="0" applyNumberFormat="1" applyFont="1" applyBorder="1"/>
    <xf numFmtId="0" fontId="22" fillId="0" borderId="4" xfId="0" applyFont="1" applyBorder="1" applyAlignment="1">
      <alignment horizontal="center"/>
    </xf>
    <xf numFmtId="165" fontId="22" fillId="0" borderId="0" xfId="0" applyNumberFormat="1" applyFont="1" applyAlignment="1">
      <alignment horizontal="center" vertical="center"/>
    </xf>
    <xf numFmtId="0" fontId="23" fillId="0" borderId="0" xfId="0" quotePrefix="1" applyFont="1" applyBorder="1" applyAlignment="1">
      <alignment horizontal="center"/>
    </xf>
    <xf numFmtId="0" fontId="23" fillId="0" borderId="0" xfId="0" applyFont="1" applyFill="1" applyBorder="1" applyAlignment="1">
      <alignment horizontal="center"/>
    </xf>
    <xf numFmtId="0" fontId="23" fillId="0" borderId="0" xfId="0" applyNumberFormat="1" applyFont="1" applyBorder="1" applyAlignment="1">
      <alignment horizontal="center"/>
    </xf>
    <xf numFmtId="0" fontId="23" fillId="0" borderId="0" xfId="0" applyFont="1" applyBorder="1" applyAlignment="1">
      <alignment horizontal="right" wrapText="1"/>
    </xf>
    <xf numFmtId="165" fontId="22" fillId="0" borderId="0" xfId="0" applyNumberFormat="1" applyFont="1" applyBorder="1" applyAlignment="1">
      <alignment horizontal="center" vertical="center" wrapText="1"/>
    </xf>
    <xf numFmtId="0" fontId="23" fillId="0" borderId="4" xfId="0" quotePrefix="1" applyFont="1" applyBorder="1" applyAlignment="1">
      <alignment horizontal="center"/>
    </xf>
    <xf numFmtId="0" fontId="23" fillId="0" borderId="4" xfId="0" applyFont="1" applyFill="1" applyBorder="1" applyAlignment="1">
      <alignment horizontal="center"/>
    </xf>
    <xf numFmtId="0" fontId="23" fillId="0" borderId="4" xfId="0" applyFont="1" applyBorder="1" applyAlignment="1">
      <alignment horizontal="right" wrapText="1"/>
    </xf>
    <xf numFmtId="0" fontId="23" fillId="0" borderId="4" xfId="0" applyNumberFormat="1" applyFont="1" applyBorder="1" applyAlignment="1">
      <alignment horizontal="center"/>
    </xf>
    <xf numFmtId="2" fontId="0" fillId="2" borderId="0" xfId="0" applyNumberFormat="1" applyFill="1"/>
    <xf numFmtId="2" fontId="0" fillId="3" borderId="0" xfId="0" applyNumberFormat="1" applyFill="1"/>
    <xf numFmtId="0" fontId="7" fillId="3" borderId="0" xfId="0" applyFont="1" applyFill="1"/>
    <xf numFmtId="0" fontId="9" fillId="3" borderId="1" xfId="0" applyFont="1" applyFill="1" applyBorder="1"/>
    <xf numFmtId="2" fontId="0" fillId="2" borderId="0" xfId="0" applyNumberFormat="1" applyFont="1" applyFill="1"/>
    <xf numFmtId="2" fontId="0" fillId="3" borderId="0" xfId="0" applyNumberFormat="1" applyFont="1" applyFill="1"/>
    <xf numFmtId="0" fontId="23" fillId="6" borderId="5" xfId="0" applyNumberFormat="1" applyFont="1" applyFill="1" applyBorder="1" applyAlignment="1">
      <alignment horizontal="center"/>
    </xf>
    <xf numFmtId="0" fontId="23" fillId="6" borderId="0" xfId="0" applyNumberFormat="1" applyFont="1" applyFill="1" applyBorder="1" applyAlignment="1">
      <alignment horizontal="center"/>
    </xf>
    <xf numFmtId="164" fontId="22" fillId="6" borderId="0" xfId="0" quotePrefix="1" applyNumberFormat="1" applyFont="1" applyFill="1" applyAlignment="1">
      <alignment horizontal="center"/>
    </xf>
    <xf numFmtId="0" fontId="23" fillId="7" borderId="5" xfId="0" applyNumberFormat="1" applyFont="1" applyFill="1" applyBorder="1" applyAlignment="1">
      <alignment horizontal="center"/>
    </xf>
    <xf numFmtId="0" fontId="23" fillId="7" borderId="0" xfId="0" applyNumberFormat="1" applyFont="1" applyFill="1" applyBorder="1" applyAlignment="1">
      <alignment horizontal="center"/>
    </xf>
    <xf numFmtId="164" fontId="22" fillId="7" borderId="0" xfId="0" quotePrefix="1" applyNumberFormat="1" applyFont="1" applyFill="1" applyAlignment="1">
      <alignment horizontal="center"/>
    </xf>
    <xf numFmtId="164" fontId="0" fillId="7" borderId="0" xfId="0" applyNumberFormat="1" applyFill="1"/>
    <xf numFmtId="164" fontId="0" fillId="6" borderId="0" xfId="0" applyNumberFormat="1" applyFill="1"/>
    <xf numFmtId="0" fontId="23" fillId="6" borderId="4" xfId="0" quotePrefix="1" applyFont="1" applyFill="1" applyBorder="1" applyAlignment="1">
      <alignment horizontal="center"/>
    </xf>
    <xf numFmtId="0" fontId="23" fillId="6" borderId="0" xfId="0" quotePrefix="1" applyFont="1" applyFill="1" applyBorder="1" applyAlignment="1">
      <alignment horizontal="center"/>
    </xf>
    <xf numFmtId="164" fontId="22" fillId="6" borderId="0" xfId="0" applyNumberFormat="1" applyFont="1" applyFill="1"/>
    <xf numFmtId="0" fontId="23" fillId="7" borderId="4" xfId="0" quotePrefix="1" applyFont="1" applyFill="1" applyBorder="1" applyAlignment="1">
      <alignment horizontal="center"/>
    </xf>
    <xf numFmtId="0" fontId="23" fillId="7" borderId="0" xfId="0" quotePrefix="1" applyFont="1" applyFill="1" applyBorder="1" applyAlignment="1">
      <alignment horizontal="center"/>
    </xf>
    <xf numFmtId="164" fontId="22" fillId="7" borderId="0" xfId="0" applyNumberFormat="1" applyFont="1" applyFill="1"/>
    <xf numFmtId="0" fontId="1" fillId="8" borderId="3" xfId="0" applyFont="1" applyFill="1" applyBorder="1" applyAlignment="1">
      <alignment vertical="top"/>
    </xf>
    <xf numFmtId="0" fontId="1" fillId="8" borderId="5" xfId="0" applyFont="1" applyFill="1" applyBorder="1" applyAlignment="1">
      <alignment vertical="top"/>
    </xf>
    <xf numFmtId="0" fontId="1" fillId="8" borderId="2" xfId="0" applyFont="1" applyFill="1" applyBorder="1" applyAlignment="1">
      <alignment vertical="top"/>
    </xf>
    <xf numFmtId="0" fontId="17" fillId="0" borderId="0" xfId="0" applyFont="1" applyFill="1" applyBorder="1" applyAlignment="1">
      <alignment vertical="top"/>
    </xf>
    <xf numFmtId="0" fontId="22" fillId="4" borderId="6" xfId="0" applyFont="1" applyFill="1" applyBorder="1" applyAlignment="1">
      <alignment horizontal="right" vertical="top"/>
    </xf>
    <xf numFmtId="2" fontId="22" fillId="4" borderId="0" xfId="0" applyNumberFormat="1" applyFont="1" applyFill="1" applyBorder="1" applyAlignment="1">
      <alignment vertical="top"/>
    </xf>
    <xf numFmtId="2" fontId="22" fillId="4" borderId="7" xfId="0" applyNumberFormat="1" applyFont="1" applyFill="1" applyBorder="1" applyAlignment="1">
      <alignment vertical="top"/>
    </xf>
    <xf numFmtId="2" fontId="18" fillId="0" borderId="0" xfId="0" applyNumberFormat="1" applyFont="1" applyFill="1" applyBorder="1" applyAlignment="1">
      <alignment vertical="top"/>
    </xf>
    <xf numFmtId="0" fontId="29" fillId="4" borderId="6" xfId="0" applyFont="1" applyFill="1" applyBorder="1" applyAlignment="1">
      <alignment horizontal="right" vertical="top"/>
    </xf>
    <xf numFmtId="2" fontId="22" fillId="4" borderId="7" xfId="0" quotePrefix="1" applyNumberFormat="1" applyFont="1" applyFill="1" applyBorder="1" applyAlignment="1">
      <alignment vertical="top"/>
    </xf>
    <xf numFmtId="0" fontId="24" fillId="4" borderId="7" xfId="0" quotePrefix="1" applyFont="1" applyFill="1" applyBorder="1" applyAlignment="1">
      <alignment vertical="top"/>
    </xf>
    <xf numFmtId="0" fontId="31" fillId="0" borderId="0" xfId="0" quotePrefix="1" applyFont="1" applyFill="1" applyBorder="1" applyAlignment="1">
      <alignment vertical="top"/>
    </xf>
    <xf numFmtId="164" fontId="31" fillId="0" borderId="0" xfId="0" quotePrefix="1" applyNumberFormat="1" applyFont="1" applyFill="1" applyBorder="1" applyAlignment="1">
      <alignment vertical="top"/>
    </xf>
    <xf numFmtId="0" fontId="22" fillId="4" borderId="8" xfId="0" applyFont="1" applyFill="1" applyBorder="1" applyAlignment="1">
      <alignment horizontal="right" vertical="top"/>
    </xf>
    <xf numFmtId="2" fontId="22" fillId="4" borderId="4" xfId="0" applyNumberFormat="1" applyFont="1" applyFill="1" applyBorder="1" applyAlignment="1">
      <alignment vertical="top"/>
    </xf>
    <xf numFmtId="164" fontId="22" fillId="4" borderId="9" xfId="0" applyNumberFormat="1" applyFont="1" applyFill="1" applyBorder="1" applyAlignment="1">
      <alignment vertical="top"/>
    </xf>
    <xf numFmtId="164" fontId="18" fillId="0" borderId="0" xfId="0" applyNumberFormat="1" applyFont="1" applyFill="1" applyBorder="1" applyAlignment="1">
      <alignment vertical="top"/>
    </xf>
    <xf numFmtId="0" fontId="22" fillId="0" borderId="6" xfId="0" applyFont="1" applyFill="1" applyBorder="1" applyAlignment="1">
      <alignment horizontal="right" vertical="top"/>
    </xf>
    <xf numFmtId="2" fontId="22" fillId="0" borderId="0" xfId="0" applyNumberFormat="1" applyFont="1" applyFill="1" applyBorder="1" applyAlignment="1">
      <alignment vertical="top"/>
    </xf>
    <xf numFmtId="0" fontId="18" fillId="0" borderId="0" xfId="0" applyFont="1" applyFill="1" applyBorder="1" applyAlignment="1">
      <alignment vertical="top"/>
    </xf>
    <xf numFmtId="164" fontId="24" fillId="0" borderId="0" xfId="0" quotePrefix="1" applyNumberFormat="1" applyFont="1" applyFill="1" applyBorder="1" applyAlignment="1">
      <alignment vertical="top"/>
    </xf>
    <xf numFmtId="164" fontId="24" fillId="0" borderId="7" xfId="0" quotePrefix="1" applyNumberFormat="1" applyFont="1" applyFill="1" applyBorder="1" applyAlignment="1">
      <alignment vertical="top"/>
    </xf>
    <xf numFmtId="0" fontId="32" fillId="0" borderId="0" xfId="0" applyFont="1" applyFill="1" applyBorder="1" applyAlignment="1">
      <alignment horizontal="center" vertical="top"/>
    </xf>
    <xf numFmtId="2" fontId="34" fillId="0" borderId="0" xfId="0" applyNumberFormat="1" applyFont="1" applyFill="1" applyBorder="1" applyAlignment="1">
      <alignment vertical="top"/>
    </xf>
    <xf numFmtId="2" fontId="0" fillId="0" borderId="0" xfId="0" applyNumberFormat="1" applyFont="1" applyFill="1" applyBorder="1" applyAlignment="1">
      <alignment vertical="top"/>
    </xf>
    <xf numFmtId="0" fontId="33" fillId="0" borderId="0" xfId="0" applyFont="1" applyFill="1" applyBorder="1" applyAlignment="1">
      <alignment vertical="top"/>
    </xf>
    <xf numFmtId="0" fontId="0" fillId="0" borderId="0" xfId="0" applyFill="1" applyBorder="1" applyAlignment="1">
      <alignment vertical="top"/>
    </xf>
    <xf numFmtId="0" fontId="22" fillId="0" borderId="0" xfId="0" quotePrefix="1" applyFont="1" applyFill="1" applyBorder="1" applyAlignment="1">
      <alignment horizontal="right" vertical="top"/>
    </xf>
    <xf numFmtId="0" fontId="0" fillId="0" borderId="0" xfId="0" applyFill="1" applyAlignment="1">
      <alignment vertical="top"/>
    </xf>
    <xf numFmtId="0" fontId="0" fillId="0" borderId="0" xfId="0" quotePrefix="1" applyFill="1" applyBorder="1" applyAlignment="1">
      <alignment vertical="top"/>
    </xf>
    <xf numFmtId="0" fontId="0" fillId="0" borderId="0" xfId="0" applyAlignment="1">
      <alignment vertical="top"/>
    </xf>
    <xf numFmtId="0" fontId="24" fillId="0" borderId="0" xfId="0" applyFont="1" applyAlignment="1">
      <alignment vertical="top"/>
    </xf>
    <xf numFmtId="2" fontId="0" fillId="0" borderId="0" xfId="0" applyNumberFormat="1" applyFont="1" applyAlignment="1">
      <alignment vertical="top"/>
    </xf>
    <xf numFmtId="1" fontId="22" fillId="0" borderId="0" xfId="0" applyNumberFormat="1" applyFont="1" applyFill="1" applyAlignment="1">
      <alignment vertical="top"/>
    </xf>
    <xf numFmtId="0" fontId="23" fillId="0" borderId="0" xfId="0" applyFont="1" applyFill="1" applyBorder="1" applyAlignment="1">
      <alignment horizontal="center" vertical="top"/>
    </xf>
    <xf numFmtId="0" fontId="36" fillId="0" borderId="4" xfId="0" applyFont="1" applyBorder="1" applyAlignment="1">
      <alignment horizontal="right"/>
    </xf>
    <xf numFmtId="0" fontId="23" fillId="0" borderId="4" xfId="0" applyFont="1" applyBorder="1" applyAlignment="1">
      <alignment horizontal="right"/>
    </xf>
    <xf numFmtId="0" fontId="32" fillId="0" borderId="0" xfId="0" applyFont="1" applyFill="1" applyAlignment="1">
      <alignment horizontal="center"/>
    </xf>
    <xf numFmtId="2" fontId="0" fillId="0" borderId="0" xfId="0" quotePrefix="1" applyNumberFormat="1"/>
    <xf numFmtId="2" fontId="22" fillId="0" borderId="0" xfId="0" applyNumberFormat="1" applyFont="1"/>
    <xf numFmtId="2" fontId="38" fillId="0" borderId="0" xfId="0" applyNumberFormat="1" applyFont="1"/>
    <xf numFmtId="0" fontId="36" fillId="0" borderId="0" xfId="0" applyFont="1" applyBorder="1" applyAlignment="1">
      <alignment horizontal="right"/>
    </xf>
    <xf numFmtId="0" fontId="23" fillId="0" borderId="0" xfId="0" applyFont="1" applyBorder="1" applyAlignment="1">
      <alignment horizontal="right"/>
    </xf>
    <xf numFmtId="0" fontId="23" fillId="0" borderId="4" xfId="0" applyFont="1" applyBorder="1" applyAlignment="1">
      <alignment horizontal="center"/>
    </xf>
    <xf numFmtId="0" fontId="36" fillId="0" borderId="4" xfId="0" applyFont="1" applyFill="1" applyBorder="1" applyAlignment="1">
      <alignment horizontal="right"/>
    </xf>
    <xf numFmtId="0" fontId="0" fillId="0" borderId="0" xfId="0" applyAlignment="1">
      <alignment horizontal="center"/>
    </xf>
    <xf numFmtId="2" fontId="0" fillId="2" borderId="6" xfId="0" applyNumberFormat="1" applyFill="1" applyBorder="1" applyAlignment="1">
      <alignment horizontal="center" vertical="center"/>
    </xf>
    <xf numFmtId="2" fontId="0" fillId="2" borderId="0" xfId="0" applyNumberFormat="1" applyFill="1" applyBorder="1" applyAlignment="1">
      <alignment horizontal="center" vertical="center"/>
    </xf>
    <xf numFmtId="2" fontId="0" fillId="2" borderId="7" xfId="0" applyNumberFormat="1" applyFill="1" applyBorder="1" applyAlignment="1">
      <alignment horizontal="center" vertical="center"/>
    </xf>
    <xf numFmtId="0" fontId="0" fillId="2" borderId="7" xfId="0" applyFill="1" applyBorder="1" applyAlignment="1">
      <alignment horizontal="center" vertical="center"/>
    </xf>
    <xf numFmtId="2" fontId="0" fillId="2" borderId="8" xfId="0" applyNumberFormat="1" applyFill="1" applyBorder="1" applyAlignment="1">
      <alignment horizontal="center" vertical="center"/>
    </xf>
    <xf numFmtId="2" fontId="0" fillId="2" borderId="4" xfId="0" applyNumberFormat="1" applyFill="1" applyBorder="1" applyAlignment="1">
      <alignment horizontal="center" vertical="center"/>
    </xf>
    <xf numFmtId="2" fontId="0" fillId="2" borderId="9" xfId="0" applyNumberFormat="1" applyFill="1" applyBorder="1" applyAlignment="1">
      <alignment horizontal="center" vertical="center"/>
    </xf>
    <xf numFmtId="0" fontId="0" fillId="2" borderId="9" xfId="0" applyFill="1" applyBorder="1" applyAlignment="1">
      <alignment horizontal="center" vertical="center"/>
    </xf>
    <xf numFmtId="0" fontId="27" fillId="0" borderId="10" xfId="0" applyFont="1" applyFill="1" applyBorder="1" applyAlignment="1">
      <alignment horizontal="center" vertical="top"/>
    </xf>
    <xf numFmtId="0" fontId="1" fillId="0" borderId="11" xfId="0" applyFont="1" applyFill="1" applyBorder="1"/>
    <xf numFmtId="0" fontId="0" fillId="0" borderId="12" xfId="0" applyBorder="1"/>
    <xf numFmtId="0" fontId="1" fillId="2" borderId="7" xfId="0" applyFont="1" applyFill="1" applyBorder="1" applyAlignment="1">
      <alignment horizontal="center" vertical="center"/>
    </xf>
    <xf numFmtId="2" fontId="0" fillId="15" borderId="0" xfId="0" applyNumberFormat="1" applyFill="1" applyBorder="1" applyAlignment="1">
      <alignment horizontal="center" vertical="center"/>
    </xf>
    <xf numFmtId="2" fontId="0" fillId="15" borderId="6" xfId="0" applyNumberFormat="1" applyFill="1" applyBorder="1" applyAlignment="1">
      <alignment horizontal="center" vertical="center"/>
    </xf>
    <xf numFmtId="2" fontId="0" fillId="15" borderId="7" xfId="0" applyNumberFormat="1" applyFill="1" applyBorder="1"/>
    <xf numFmtId="2" fontId="0" fillId="15" borderId="7" xfId="0" applyNumberFormat="1" applyFill="1" applyBorder="1" applyAlignment="1">
      <alignment horizontal="center" vertical="center"/>
    </xf>
    <xf numFmtId="2" fontId="0" fillId="15" borderId="8" xfId="0" applyNumberFormat="1" applyFill="1" applyBorder="1" applyAlignment="1">
      <alignment horizontal="center" vertical="center"/>
    </xf>
    <xf numFmtId="2" fontId="0" fillId="15" borderId="4" xfId="0" applyNumberFormat="1" applyFill="1" applyBorder="1" applyAlignment="1">
      <alignment horizontal="center" vertical="center"/>
    </xf>
    <xf numFmtId="2" fontId="0" fillId="15" borderId="9" xfId="0" applyNumberFormat="1" applyFill="1" applyBorder="1" applyAlignment="1">
      <alignment horizontal="center" vertical="center"/>
    </xf>
    <xf numFmtId="0" fontId="1" fillId="11" borderId="2" xfId="0" applyFont="1" applyFill="1" applyBorder="1" applyAlignment="1">
      <alignment horizontal="center" vertical="center"/>
    </xf>
    <xf numFmtId="0" fontId="0" fillId="5" borderId="3" xfId="0" applyFill="1" applyBorder="1" applyAlignment="1">
      <alignment horizontal="center" vertical="center"/>
    </xf>
    <xf numFmtId="0" fontId="0" fillId="5" borderId="5" xfId="0" applyFill="1" applyBorder="1" applyAlignment="1">
      <alignment horizontal="center" vertical="center"/>
    </xf>
    <xf numFmtId="0" fontId="1" fillId="5" borderId="2" xfId="0" applyFont="1" applyFill="1" applyBorder="1" applyAlignment="1">
      <alignment horizontal="center" vertical="center"/>
    </xf>
    <xf numFmtId="2" fontId="0" fillId="11" borderId="3" xfId="0" applyNumberFormat="1" applyFill="1" applyBorder="1" applyAlignment="1">
      <alignment horizontal="center" vertical="center"/>
    </xf>
    <xf numFmtId="2" fontId="0" fillId="11" borderId="5" xfId="0" applyNumberFormat="1" applyFill="1" applyBorder="1" applyAlignment="1">
      <alignment horizontal="center" vertical="center"/>
    </xf>
    <xf numFmtId="0" fontId="27" fillId="10" borderId="3" xfId="0" applyFont="1" applyFill="1" applyBorder="1" applyAlignment="1">
      <alignment horizontal="center" vertical="top"/>
    </xf>
    <xf numFmtId="0" fontId="1" fillId="10" borderId="5" xfId="0" applyFont="1" applyFill="1" applyBorder="1"/>
    <xf numFmtId="0" fontId="1" fillId="10" borderId="2" xfId="0" applyFont="1" applyFill="1" applyBorder="1" applyAlignment="1">
      <alignment horizontal="center" vertical="center"/>
    </xf>
    <xf numFmtId="0" fontId="0" fillId="0" borderId="6" xfId="0" applyFill="1" applyBorder="1" applyAlignment="1">
      <alignment horizontal="center"/>
    </xf>
    <xf numFmtId="0" fontId="32" fillId="2" borderId="6" xfId="0" applyFont="1" applyFill="1" applyBorder="1" applyAlignment="1">
      <alignment horizontal="center" vertical="top"/>
    </xf>
    <xf numFmtId="0" fontId="0" fillId="2" borderId="6" xfId="0" applyFont="1" applyFill="1" applyBorder="1" applyAlignment="1">
      <alignment horizontal="center"/>
    </xf>
    <xf numFmtId="0" fontId="0" fillId="15" borderId="6" xfId="0" applyFont="1" applyFill="1" applyBorder="1" applyAlignment="1">
      <alignment horizontal="center"/>
    </xf>
    <xf numFmtId="0" fontId="32" fillId="15" borderId="6" xfId="0" applyFont="1" applyFill="1" applyBorder="1" applyAlignment="1">
      <alignment horizontal="center" vertical="top"/>
    </xf>
    <xf numFmtId="0" fontId="11" fillId="0" borderId="0" xfId="0" applyFont="1"/>
    <xf numFmtId="2" fontId="0" fillId="2" borderId="6" xfId="0" quotePrefix="1" applyNumberFormat="1" applyFill="1" applyBorder="1" applyAlignment="1">
      <alignment horizontal="center" vertical="center"/>
    </xf>
    <xf numFmtId="0" fontId="39" fillId="0" borderId="0" xfId="0" applyFont="1" applyFill="1" applyAlignment="1">
      <alignment horizontal="center"/>
    </xf>
    <xf numFmtId="0" fontId="32" fillId="0" borderId="0" xfId="0" applyFont="1" applyFill="1" applyBorder="1" applyAlignment="1">
      <alignment horizontal="left" vertical="top"/>
    </xf>
    <xf numFmtId="0" fontId="1" fillId="16" borderId="0" xfId="0" applyFont="1" applyFill="1"/>
    <xf numFmtId="0" fontId="0" fillId="16" borderId="0" xfId="0" applyFill="1"/>
    <xf numFmtId="0" fontId="3" fillId="16" borderId="0" xfId="0" applyFont="1" applyFill="1"/>
    <xf numFmtId="0" fontId="2" fillId="7" borderId="0" xfId="0" applyFont="1" applyFill="1"/>
    <xf numFmtId="0" fontId="3" fillId="7" borderId="0" xfId="0" applyFont="1" applyFill="1" applyAlignment="1">
      <alignment vertical="center"/>
    </xf>
    <xf numFmtId="0" fontId="0" fillId="7" borderId="0" xfId="0" applyFill="1"/>
    <xf numFmtId="0" fontId="5" fillId="7" borderId="0" xfId="0" applyFont="1" applyFill="1"/>
    <xf numFmtId="2" fontId="0" fillId="7" borderId="0" xfId="0" applyNumberFormat="1" applyFill="1"/>
    <xf numFmtId="0" fontId="0" fillId="7" borderId="0" xfId="0" quotePrefix="1" applyFill="1"/>
    <xf numFmtId="0" fontId="7" fillId="7" borderId="0" xfId="0" applyFont="1" applyFill="1"/>
    <xf numFmtId="0" fontId="9" fillId="7" borderId="3" xfId="0" applyFont="1" applyFill="1" applyBorder="1"/>
    <xf numFmtId="0" fontId="0" fillId="7" borderId="2" xfId="0" applyFill="1" applyBorder="1"/>
    <xf numFmtId="0" fontId="0" fillId="7" borderId="1" xfId="0" applyFill="1" applyBorder="1"/>
    <xf numFmtId="0" fontId="0" fillId="7" borderId="0" xfId="0" applyFont="1" applyFill="1"/>
    <xf numFmtId="2" fontId="0" fillId="7" borderId="0" xfId="0" quotePrefix="1" applyNumberFormat="1" applyFont="1" applyFill="1"/>
    <xf numFmtId="0" fontId="14" fillId="7" borderId="0" xfId="0" applyFont="1" applyFill="1" applyAlignment="1">
      <alignment vertical="center"/>
    </xf>
    <xf numFmtId="2" fontId="0" fillId="7" borderId="0" xfId="0" applyNumberFormat="1" applyFont="1" applyFill="1"/>
    <xf numFmtId="0" fontId="3" fillId="7" borderId="0" xfId="0" applyFont="1" applyFill="1"/>
    <xf numFmtId="0" fontId="19" fillId="7" borderId="0" xfId="0" applyFont="1" applyFill="1"/>
    <xf numFmtId="0" fontId="1" fillId="7" borderId="3" xfId="0" applyFont="1" applyFill="1" applyBorder="1"/>
    <xf numFmtId="0" fontId="0" fillId="16" borderId="0" xfId="0" applyFont="1" applyFill="1"/>
    <xf numFmtId="0" fontId="0" fillId="7" borderId="6" xfId="0" applyFont="1" applyFill="1" applyBorder="1" applyAlignment="1">
      <alignment horizontal="center"/>
    </xf>
    <xf numFmtId="0" fontId="32" fillId="7" borderId="6" xfId="0" applyFont="1" applyFill="1" applyBorder="1" applyAlignment="1">
      <alignment horizontal="center" vertical="top"/>
    </xf>
    <xf numFmtId="2" fontId="0" fillId="7" borderId="6" xfId="0" applyNumberFormat="1" applyFill="1" applyBorder="1" applyAlignment="1">
      <alignment horizontal="center" vertical="center"/>
    </xf>
    <xf numFmtId="2" fontId="0" fillId="7" borderId="0" xfId="0" applyNumberFormat="1" applyFill="1" applyBorder="1" applyAlignment="1">
      <alignment horizontal="center" vertical="center"/>
    </xf>
    <xf numFmtId="2" fontId="0" fillId="7" borderId="7" xfId="0" applyNumberFormat="1" applyFill="1" applyBorder="1"/>
    <xf numFmtId="2" fontId="0" fillId="7" borderId="7" xfId="0" applyNumberFormat="1" applyFill="1" applyBorder="1" applyAlignment="1">
      <alignment horizontal="center" vertical="center"/>
    </xf>
    <xf numFmtId="0" fontId="0" fillId="7" borderId="8" xfId="0" applyFont="1" applyFill="1" applyBorder="1" applyAlignment="1">
      <alignment horizontal="center"/>
    </xf>
    <xf numFmtId="2" fontId="0" fillId="7" borderId="8" xfId="0" applyNumberFormat="1" applyFill="1" applyBorder="1" applyAlignment="1">
      <alignment horizontal="center" vertical="center"/>
    </xf>
    <xf numFmtId="2" fontId="0" fillId="7" borderId="4" xfId="0" applyNumberFormat="1" applyFill="1" applyBorder="1" applyAlignment="1">
      <alignment horizontal="center" vertical="center"/>
    </xf>
    <xf numFmtId="2" fontId="0" fillId="7" borderId="9" xfId="0" applyNumberFormat="1" applyFill="1" applyBorder="1" applyAlignment="1">
      <alignment horizontal="center" vertical="center"/>
    </xf>
    <xf numFmtId="0" fontId="23" fillId="0" borderId="5" xfId="0" applyNumberFormat="1" applyFont="1" applyFill="1" applyBorder="1" applyAlignment="1">
      <alignment horizontal="center"/>
    </xf>
    <xf numFmtId="0" fontId="23" fillId="0" borderId="4" xfId="0" quotePrefix="1" applyFont="1" applyFill="1" applyBorder="1" applyAlignment="1">
      <alignment horizontal="center"/>
    </xf>
    <xf numFmtId="0" fontId="23" fillId="0" borderId="0" xfId="0" applyNumberFormat="1" applyFont="1" applyFill="1" applyBorder="1" applyAlignment="1">
      <alignment horizontal="center"/>
    </xf>
    <xf numFmtId="0" fontId="23" fillId="0" borderId="0" xfId="0" quotePrefix="1" applyFont="1" applyFill="1" applyBorder="1" applyAlignment="1">
      <alignment horizontal="center"/>
    </xf>
    <xf numFmtId="164" fontId="22" fillId="0" borderId="0" xfId="0" quotePrefix="1" applyNumberFormat="1" applyFont="1" applyFill="1" applyAlignment="1">
      <alignment horizontal="center"/>
    </xf>
    <xf numFmtId="164" fontId="22" fillId="0" borderId="0" xfId="0" applyNumberFormat="1" applyFont="1" applyFill="1"/>
    <xf numFmtId="164" fontId="0" fillId="0" borderId="0" xfId="0" applyNumberFormat="1" applyFill="1"/>
    <xf numFmtId="1" fontId="22" fillId="17" borderId="0" xfId="0" applyNumberFormat="1" applyFont="1" applyFill="1"/>
    <xf numFmtId="0" fontId="22" fillId="0" borderId="0" xfId="0" applyFont="1" applyFill="1" applyBorder="1" applyAlignment="1">
      <alignment horizontal="left" vertical="top"/>
    </xf>
    <xf numFmtId="0" fontId="32" fillId="5" borderId="6" xfId="0" applyFont="1" applyFill="1" applyBorder="1" applyAlignment="1">
      <alignment horizontal="center" vertical="top"/>
    </xf>
    <xf numFmtId="2" fontId="22" fillId="5" borderId="0" xfId="0" applyNumberFormat="1" applyFont="1" applyFill="1" applyBorder="1" applyAlignment="1">
      <alignment vertical="top"/>
    </xf>
    <xf numFmtId="2" fontId="0" fillId="5" borderId="0" xfId="0" applyNumberFormat="1" applyFont="1" applyFill="1" applyBorder="1" applyAlignment="1">
      <alignment vertical="top"/>
    </xf>
    <xf numFmtId="0" fontId="32" fillId="5" borderId="7" xfId="0" applyFont="1" applyFill="1" applyBorder="1" applyAlignment="1">
      <alignment horizontal="center" vertical="top"/>
    </xf>
    <xf numFmtId="0" fontId="32" fillId="5" borderId="8" xfId="0" applyFont="1" applyFill="1" applyBorder="1" applyAlignment="1">
      <alignment horizontal="center" vertical="top"/>
    </xf>
    <xf numFmtId="2" fontId="22" fillId="5" borderId="4" xfId="0" applyNumberFormat="1" applyFont="1" applyFill="1" applyBorder="1" applyAlignment="1">
      <alignment vertical="top"/>
    </xf>
    <xf numFmtId="0" fontId="32" fillId="5" borderId="9" xfId="0" applyFont="1" applyFill="1" applyBorder="1" applyAlignment="1">
      <alignment horizontal="center" vertical="top"/>
    </xf>
    <xf numFmtId="0" fontId="23" fillId="16" borderId="3" xfId="0" applyFont="1" applyFill="1" applyBorder="1" applyAlignment="1">
      <alignment horizontal="center" vertical="top"/>
    </xf>
    <xf numFmtId="0" fontId="23" fillId="16" borderId="5" xfId="0" applyFont="1" applyFill="1" applyBorder="1" applyAlignment="1">
      <alignment horizontal="center" vertical="top"/>
    </xf>
    <xf numFmtId="0" fontId="23" fillId="16" borderId="2" xfId="0" applyFont="1" applyFill="1" applyBorder="1" applyAlignment="1">
      <alignment horizontal="center" vertical="top"/>
    </xf>
    <xf numFmtId="0" fontId="23" fillId="16" borderId="3" xfId="0" applyFont="1" applyFill="1" applyBorder="1" applyAlignment="1">
      <alignment horizontal="left" vertical="top"/>
    </xf>
    <xf numFmtId="164" fontId="33" fillId="16" borderId="5" xfId="0" quotePrefix="1" applyNumberFormat="1" applyFont="1" applyFill="1" applyBorder="1" applyAlignment="1">
      <alignment horizontal="left" vertical="top"/>
    </xf>
    <xf numFmtId="164" fontId="33" fillId="16" borderId="2" xfId="0" quotePrefix="1" applyNumberFormat="1" applyFont="1" applyFill="1" applyBorder="1" applyAlignment="1">
      <alignment horizontal="left" vertical="top"/>
    </xf>
    <xf numFmtId="0" fontId="22" fillId="5" borderId="6" xfId="0" quotePrefix="1" applyFont="1" applyFill="1" applyBorder="1" applyAlignment="1">
      <alignment horizontal="center" vertical="top"/>
    </xf>
    <xf numFmtId="0" fontId="22" fillId="5" borderId="7" xfId="0" applyFont="1" applyFill="1" applyBorder="1" applyAlignment="1">
      <alignment vertical="top"/>
    </xf>
    <xf numFmtId="0" fontId="22" fillId="5" borderId="6" xfId="0" applyFont="1" applyFill="1" applyBorder="1" applyAlignment="1">
      <alignment horizontal="center" vertical="top"/>
    </xf>
    <xf numFmtId="164" fontId="22" fillId="5" borderId="7" xfId="0" applyNumberFormat="1" applyFont="1" applyFill="1" applyBorder="1" applyAlignment="1">
      <alignment vertical="top"/>
    </xf>
    <xf numFmtId="2" fontId="0" fillId="5" borderId="0" xfId="0" applyNumberFormat="1" applyFill="1" applyBorder="1" applyAlignment="1">
      <alignment vertical="top"/>
    </xf>
    <xf numFmtId="164" fontId="0" fillId="5" borderId="7" xfId="0" applyNumberFormat="1" applyFill="1" applyBorder="1" applyAlignment="1">
      <alignment vertical="top"/>
    </xf>
    <xf numFmtId="0" fontId="0" fillId="5" borderId="7" xfId="0" applyFill="1" applyBorder="1" applyAlignment="1">
      <alignment vertical="top"/>
    </xf>
    <xf numFmtId="0" fontId="22" fillId="5" borderId="8" xfId="0" applyFont="1" applyFill="1" applyBorder="1" applyAlignment="1">
      <alignment horizontal="center" vertical="top"/>
    </xf>
    <xf numFmtId="2" fontId="0" fillId="5" borderId="4" xfId="0" applyNumberFormat="1" applyFill="1" applyBorder="1" applyAlignment="1">
      <alignment vertical="top"/>
    </xf>
    <xf numFmtId="0" fontId="0" fillId="5" borderId="9" xfId="0" applyFill="1" applyBorder="1" applyAlignment="1">
      <alignment vertical="top"/>
    </xf>
    <xf numFmtId="0" fontId="0" fillId="12" borderId="0" xfId="0" applyFont="1" applyFill="1" applyBorder="1" applyAlignment="1">
      <alignment horizontal="left"/>
    </xf>
    <xf numFmtId="0" fontId="36" fillId="12" borderId="0" xfId="0" applyFont="1" applyFill="1" applyBorder="1" applyAlignment="1">
      <alignment horizontal="right"/>
    </xf>
    <xf numFmtId="0" fontId="0" fillId="12" borderId="10" xfId="0" applyFill="1" applyBorder="1" applyAlignment="1">
      <alignment horizontal="center"/>
    </xf>
    <xf numFmtId="2" fontId="23" fillId="14" borderId="3" xfId="0" applyNumberFormat="1" applyFont="1" applyFill="1" applyBorder="1" applyAlignment="1">
      <alignment vertical="top"/>
    </xf>
    <xf numFmtId="0" fontId="33" fillId="14" borderId="5" xfId="0" applyFont="1" applyFill="1" applyBorder="1" applyAlignment="1">
      <alignment vertical="top"/>
    </xf>
    <xf numFmtId="0" fontId="33" fillId="14" borderId="2" xfId="0" applyFont="1" applyFill="1" applyBorder="1" applyAlignment="1">
      <alignment vertical="top"/>
    </xf>
    <xf numFmtId="0" fontId="22" fillId="10" borderId="6" xfId="0" applyFont="1" applyFill="1" applyBorder="1" applyAlignment="1">
      <alignment horizontal="left" vertical="top"/>
    </xf>
    <xf numFmtId="2" fontId="0" fillId="10" borderId="0" xfId="0" applyNumberFormat="1" applyFill="1" applyBorder="1" applyAlignment="1">
      <alignment vertical="top"/>
    </xf>
    <xf numFmtId="0" fontId="0" fillId="10" borderId="7" xfId="0" applyFill="1" applyBorder="1" applyAlignment="1">
      <alignment vertical="top"/>
    </xf>
    <xf numFmtId="0" fontId="0" fillId="10" borderId="6" xfId="0" applyFill="1" applyBorder="1" applyAlignment="1">
      <alignment vertical="top"/>
    </xf>
    <xf numFmtId="2" fontId="22" fillId="10" borderId="0" xfId="0" quotePrefix="1" applyNumberFormat="1" applyFont="1" applyFill="1" applyBorder="1" applyAlignment="1">
      <alignment horizontal="right" vertical="top"/>
    </xf>
    <xf numFmtId="0" fontId="22" fillId="10" borderId="7" xfId="0" quotePrefix="1" applyFont="1" applyFill="1" applyBorder="1" applyAlignment="1">
      <alignment horizontal="left" vertical="top"/>
    </xf>
    <xf numFmtId="2" fontId="22" fillId="10" borderId="0" xfId="0" applyNumberFormat="1" applyFont="1" applyFill="1" applyBorder="1" applyAlignment="1">
      <alignment vertical="top"/>
    </xf>
    <xf numFmtId="2" fontId="0" fillId="10" borderId="0" xfId="0" quotePrefix="1" applyNumberFormat="1" applyFill="1" applyBorder="1" applyAlignment="1">
      <alignment vertical="top"/>
    </xf>
    <xf numFmtId="2" fontId="22" fillId="10" borderId="0" xfId="0" quotePrefix="1" applyNumberFormat="1" applyFont="1" applyFill="1" applyBorder="1" applyAlignment="1">
      <alignment vertical="top"/>
    </xf>
    <xf numFmtId="0" fontId="0" fillId="10" borderId="8" xfId="0" applyFill="1" applyBorder="1" applyAlignment="1">
      <alignment vertical="top"/>
    </xf>
    <xf numFmtId="2" fontId="0" fillId="10" borderId="4" xfId="0" quotePrefix="1" applyNumberFormat="1" applyFill="1" applyBorder="1" applyAlignment="1">
      <alignment vertical="top"/>
    </xf>
    <xf numFmtId="0" fontId="0" fillId="10" borderId="9" xfId="0" quotePrefix="1" applyFill="1" applyBorder="1" applyAlignment="1">
      <alignment horizontal="left" vertical="top"/>
    </xf>
    <xf numFmtId="0" fontId="1" fillId="13" borderId="3" xfId="0" applyFont="1" applyFill="1" applyBorder="1" applyAlignment="1">
      <alignment vertical="top"/>
    </xf>
    <xf numFmtId="0" fontId="1" fillId="13" borderId="5" xfId="0" applyFont="1" applyFill="1" applyBorder="1" applyAlignment="1">
      <alignment vertical="top"/>
    </xf>
    <xf numFmtId="0" fontId="1" fillId="13" borderId="2" xfId="0" applyFont="1" applyFill="1" applyBorder="1" applyAlignment="1">
      <alignment vertical="top"/>
    </xf>
    <xf numFmtId="0" fontId="22" fillId="9" borderId="6" xfId="0" applyFont="1" applyFill="1" applyBorder="1" applyAlignment="1">
      <alignment horizontal="left" vertical="top"/>
    </xf>
    <xf numFmtId="2" fontId="22" fillId="9" borderId="0" xfId="0" applyNumberFormat="1" applyFont="1" applyFill="1" applyBorder="1" applyAlignment="1">
      <alignment vertical="top"/>
    </xf>
    <xf numFmtId="2" fontId="22" fillId="9" borderId="7" xfId="0" applyNumberFormat="1" applyFont="1" applyFill="1" applyBorder="1" applyAlignment="1">
      <alignment vertical="top"/>
    </xf>
    <xf numFmtId="0" fontId="0" fillId="9" borderId="8" xfId="0" applyFill="1" applyBorder="1" applyAlignment="1">
      <alignment vertical="top"/>
    </xf>
    <xf numFmtId="2" fontId="0" fillId="9" borderId="4" xfId="0" applyNumberFormat="1" applyFill="1" applyBorder="1" applyAlignment="1">
      <alignment vertical="top"/>
    </xf>
    <xf numFmtId="0" fontId="0" fillId="9" borderId="9" xfId="0" applyFill="1" applyBorder="1" applyAlignment="1">
      <alignment vertical="top"/>
    </xf>
    <xf numFmtId="0" fontId="43" fillId="0" borderId="0" xfId="0" applyFont="1"/>
    <xf numFmtId="0" fontId="44" fillId="0" borderId="0" xfId="0" applyFont="1"/>
    <xf numFmtId="164" fontId="0" fillId="2" borderId="0" xfId="0" applyNumberFormat="1" applyFill="1"/>
    <xf numFmtId="2" fontId="22" fillId="0" borderId="0" xfId="0" quotePrefix="1" applyNumberFormat="1" applyFont="1" applyFill="1" applyBorder="1" applyAlignment="1">
      <alignment horizontal="right" vertical="top"/>
    </xf>
    <xf numFmtId="2" fontId="0" fillId="0" borderId="0" xfId="0" quotePrefix="1" applyNumberFormat="1" applyFill="1" applyBorder="1" applyAlignment="1">
      <alignment vertical="top"/>
    </xf>
    <xf numFmtId="2" fontId="22" fillId="0" borderId="0" xfId="0" quotePrefix="1" applyNumberFormat="1" applyFont="1" applyFill="1" applyBorder="1" applyAlignment="1">
      <alignment vertical="top"/>
    </xf>
    <xf numFmtId="0" fontId="0" fillId="0" borderId="0" xfId="0" quotePrefix="1" applyFill="1" applyBorder="1" applyAlignment="1">
      <alignment horizontal="left" vertical="top"/>
    </xf>
    <xf numFmtId="0" fontId="24" fillId="0" borderId="0" xfId="0" applyFont="1" applyFill="1" applyBorder="1" applyAlignment="1">
      <alignment vertical="top"/>
    </xf>
    <xf numFmtId="0" fontId="22" fillId="18" borderId="0" xfId="0" applyFont="1" applyFill="1" applyBorder="1" applyAlignment="1">
      <alignment vertical="top"/>
    </xf>
    <xf numFmtId="0" fontId="3" fillId="18" borderId="0" xfId="0" applyFont="1" applyFill="1"/>
    <xf numFmtId="165" fontId="0" fillId="18" borderId="0" xfId="0" applyNumberFormat="1" applyFont="1" applyFill="1" applyBorder="1" applyAlignment="1">
      <alignment vertical="top"/>
    </xf>
    <xf numFmtId="0" fontId="0" fillId="18" borderId="0" xfId="0" applyFill="1" applyBorder="1" applyAlignment="1">
      <alignment vertical="top"/>
    </xf>
    <xf numFmtId="0" fontId="1" fillId="18" borderId="0" xfId="0" applyFont="1" applyFill="1"/>
    <xf numFmtId="0" fontId="33" fillId="18" borderId="0" xfId="0" applyFont="1" applyFill="1" applyBorder="1" applyAlignment="1">
      <alignment vertical="top"/>
    </xf>
    <xf numFmtId="0" fontId="0" fillId="18" borderId="0" xfId="0" applyFill="1"/>
    <xf numFmtId="2" fontId="0" fillId="18" borderId="0" xfId="0" applyNumberFormat="1" applyFill="1" applyBorder="1" applyAlignment="1">
      <alignment vertical="top"/>
    </xf>
    <xf numFmtId="2" fontId="22" fillId="18" borderId="0" xfId="0" quotePrefix="1" applyNumberFormat="1" applyFont="1" applyFill="1" applyBorder="1" applyAlignment="1">
      <alignment horizontal="right" vertical="top"/>
    </xf>
    <xf numFmtId="0" fontId="23" fillId="0" borderId="0" xfId="0" applyFont="1"/>
    <xf numFmtId="0" fontId="1" fillId="0" borderId="0" xfId="0" applyFont="1" applyBorder="1"/>
    <xf numFmtId="0" fontId="23" fillId="0" borderId="0" xfId="0" applyFont="1" applyBorder="1" applyAlignment="1">
      <alignment horizontal="center"/>
    </xf>
    <xf numFmtId="0" fontId="0" fillId="0" borderId="0" xfId="0" applyFont="1" applyBorder="1"/>
    <xf numFmtId="166" fontId="0" fillId="0" borderId="0" xfId="0" applyNumberFormat="1" applyFont="1"/>
    <xf numFmtId="166" fontId="0" fillId="0" borderId="0" xfId="0" applyNumberFormat="1" applyFont="1" applyBorder="1"/>
    <xf numFmtId="166" fontId="22" fillId="0" borderId="0" xfId="0" quotePrefix="1" applyNumberFormat="1" applyFont="1" applyFill="1"/>
    <xf numFmtId="0" fontId="23" fillId="0" borderId="0" xfId="0" applyFont="1" applyAlignment="1">
      <alignment horizontal="right"/>
    </xf>
    <xf numFmtId="0" fontId="1" fillId="0" borderId="0" xfId="0" applyFont="1" applyAlignment="1">
      <alignment horizontal="right"/>
    </xf>
    <xf numFmtId="0" fontId="1" fillId="0" borderId="0" xfId="0" applyFont="1" applyAlignment="1">
      <alignment horizontal="left"/>
    </xf>
    <xf numFmtId="0" fontId="1" fillId="0" borderId="0" xfId="0" quotePrefix="1" applyFont="1"/>
    <xf numFmtId="164" fontId="23" fillId="0" borderId="0" xfId="0" applyNumberFormat="1" applyFont="1" applyFill="1"/>
    <xf numFmtId="164" fontId="1" fillId="0" borderId="0" xfId="0" applyNumberFormat="1" applyFont="1"/>
    <xf numFmtId="0" fontId="48" fillId="0" borderId="0" xfId="0" applyFont="1"/>
    <xf numFmtId="0" fontId="5" fillId="0" borderId="0" xfId="0" applyFont="1"/>
    <xf numFmtId="0" fontId="48" fillId="0" borderId="0" xfId="0" applyFont="1" applyAlignment="1">
      <alignment vertical="center"/>
    </xf>
    <xf numFmtId="0" fontId="50" fillId="0" borderId="0" xfId="0" applyFont="1" applyAlignment="1">
      <alignment vertical="center"/>
    </xf>
    <xf numFmtId="0" fontId="0" fillId="0" borderId="0" xfId="0" quotePrefix="1"/>
    <xf numFmtId="0" fontId="0" fillId="0" borderId="0" xfId="0" applyFont="1" applyAlignment="1">
      <alignment vertical="center"/>
    </xf>
    <xf numFmtId="0" fontId="0" fillId="0" borderId="0" xfId="0" quotePrefix="1" applyFont="1" applyAlignment="1">
      <alignment vertical="center"/>
    </xf>
    <xf numFmtId="0" fontId="0" fillId="4" borderId="6" xfId="0" applyFont="1" applyFill="1" applyBorder="1" applyAlignment="1">
      <alignment vertical="top"/>
    </xf>
    <xf numFmtId="0" fontId="0" fillId="4" borderId="0" xfId="0" applyFont="1" applyFill="1" applyBorder="1" applyAlignment="1">
      <alignment vertical="top"/>
    </xf>
    <xf numFmtId="0" fontId="0" fillId="4" borderId="7" xfId="0" applyFont="1" applyFill="1" applyBorder="1" applyAlignment="1">
      <alignment vertical="top"/>
    </xf>
    <xf numFmtId="0" fontId="30" fillId="4" borderId="6" xfId="0" applyFont="1" applyFill="1" applyBorder="1" applyAlignment="1">
      <alignment horizontal="right" vertical="top"/>
    </xf>
    <xf numFmtId="1" fontId="22" fillId="0" borderId="0" xfId="0" applyNumberFormat="1" applyFont="1" applyFill="1"/>
    <xf numFmtId="164" fontId="23" fillId="0" borderId="0" xfId="0" applyNumberFormat="1" applyFont="1" applyFill="1" applyAlignment="1">
      <alignment horizontal="left"/>
    </xf>
    <xf numFmtId="1" fontId="22" fillId="0" borderId="0" xfId="0" applyNumberFormat="1" applyFont="1" applyFill="1" applyAlignment="1">
      <alignment horizontal="right" vertical="top"/>
    </xf>
    <xf numFmtId="0" fontId="22" fillId="0" borderId="0" xfId="0" applyNumberFormat="1" applyFont="1" applyBorder="1" applyAlignment="1">
      <alignment horizontal="center"/>
    </xf>
    <xf numFmtId="0" fontId="22" fillId="0" borderId="0" xfId="0" applyFont="1" applyFill="1" applyAlignment="1">
      <alignment horizontal="center"/>
    </xf>
    <xf numFmtId="2" fontId="0" fillId="0" borderId="0" xfId="0" applyNumberFormat="1" applyFont="1"/>
    <xf numFmtId="167" fontId="0" fillId="5" borderId="4" xfId="0" applyNumberFormat="1" applyFont="1" applyFill="1" applyBorder="1" applyAlignment="1">
      <alignment vertical="top"/>
    </xf>
    <xf numFmtId="166" fontId="0" fillId="2" borderId="4" xfId="0" applyNumberFormat="1" applyFill="1" applyBorder="1" applyAlignment="1">
      <alignment horizontal="center" vertical="center"/>
    </xf>
    <xf numFmtId="0" fontId="0" fillId="10" borderId="7" xfId="0" quotePrefix="1" applyFill="1" applyBorder="1" applyAlignment="1">
      <alignment vertical="top"/>
    </xf>
    <xf numFmtId="2" fontId="0" fillId="10" borderId="0" xfId="0" quotePrefix="1" applyNumberFormat="1" applyFill="1" applyBorder="1" applyAlignment="1">
      <alignment horizontal="right" vertical="top"/>
    </xf>
    <xf numFmtId="2" fontId="22" fillId="4" borderId="0" xfId="0" quotePrefix="1" applyNumberFormat="1" applyFont="1" applyFill="1" applyBorder="1" applyAlignment="1">
      <alignment vertical="top"/>
    </xf>
    <xf numFmtId="164" fontId="22" fillId="4" borderId="7" xfId="0" quotePrefix="1" applyNumberFormat="1" applyFont="1" applyFill="1" applyBorder="1" applyAlignment="1">
      <alignment vertical="top"/>
    </xf>
    <xf numFmtId="0" fontId="36" fillId="0" borderId="0" xfId="0" applyFont="1" applyFill="1" applyBorder="1" applyAlignment="1">
      <alignment horizontal="right"/>
    </xf>
    <xf numFmtId="0" fontId="0" fillId="0" borderId="10" xfId="0" applyFill="1" applyBorder="1" applyAlignment="1">
      <alignment horizontal="center"/>
    </xf>
    <xf numFmtId="0" fontId="0" fillId="0" borderId="3" xfId="0" applyFill="1" applyBorder="1"/>
    <xf numFmtId="0" fontId="0" fillId="0" borderId="5" xfId="0" applyFill="1" applyBorder="1"/>
    <xf numFmtId="0" fontId="0" fillId="0" borderId="2" xfId="0" applyFill="1" applyBorder="1"/>
    <xf numFmtId="0" fontId="0" fillId="0" borderId="0" xfId="0" applyFill="1" applyBorder="1"/>
    <xf numFmtId="0" fontId="7" fillId="0" borderId="0" xfId="0" applyFont="1" applyFill="1" applyBorder="1" applyAlignment="1">
      <alignment vertical="center"/>
    </xf>
    <xf numFmtId="0" fontId="0" fillId="0" borderId="0" xfId="0" applyFont="1" applyFill="1" applyBorder="1" applyAlignment="1">
      <alignment vertical="center"/>
    </xf>
    <xf numFmtId="166" fontId="0" fillId="0" borderId="0" xfId="0" applyNumberFormat="1" applyFont="1" applyFill="1" applyBorder="1" applyAlignment="1">
      <alignment vertical="center"/>
    </xf>
    <xf numFmtId="0" fontId="0" fillId="0" borderId="0" xfId="0" applyBorder="1"/>
    <xf numFmtId="0" fontId="1" fillId="0" borderId="0" xfId="0" applyFont="1" applyFill="1" applyBorder="1" applyAlignment="1">
      <alignment horizontal="center" vertical="center"/>
    </xf>
    <xf numFmtId="0" fontId="0" fillId="0" borderId="0" xfId="0" applyFill="1" applyBorder="1" applyAlignment="1">
      <alignment horizontal="center" vertical="center"/>
    </xf>
    <xf numFmtId="2" fontId="0" fillId="0" borderId="0" xfId="0" applyNumberFormat="1" applyFill="1" applyBorder="1"/>
    <xf numFmtId="2" fontId="0" fillId="0" borderId="0" xfId="0" applyNumberFormat="1" applyFill="1" applyBorder="1" applyAlignment="1">
      <alignment horizontal="center" vertical="center"/>
    </xf>
    <xf numFmtId="0" fontId="5" fillId="0" borderId="0" xfId="0" applyFont="1" applyFill="1" applyAlignment="1">
      <alignment vertical="center"/>
    </xf>
    <xf numFmtId="164" fontId="0" fillId="0" borderId="0" xfId="0" applyNumberFormat="1" applyFill="1" applyBorder="1"/>
    <xf numFmtId="9" fontId="0" fillId="0" borderId="0" xfId="0" quotePrefix="1" applyNumberFormat="1" applyFont="1" applyAlignment="1">
      <alignment vertical="center"/>
    </xf>
    <xf numFmtId="166" fontId="22" fillId="0" borderId="0" xfId="0" quotePrefix="1" applyNumberFormat="1" applyFont="1"/>
    <xf numFmtId="0" fontId="0" fillId="19" borderId="0" xfId="0" applyFill="1"/>
    <xf numFmtId="0" fontId="0" fillId="19" borderId="0" xfId="0" applyFont="1" applyFill="1" applyBorder="1" applyAlignment="1">
      <alignment horizontal="center"/>
    </xf>
    <xf numFmtId="2" fontId="0" fillId="7" borderId="10" xfId="0" applyNumberFormat="1" applyFill="1" applyBorder="1" applyAlignment="1">
      <alignment horizontal="center" vertical="center"/>
    </xf>
    <xf numFmtId="2" fontId="0" fillId="7" borderId="11" xfId="0" applyNumberFormat="1" applyFill="1" applyBorder="1" applyAlignment="1">
      <alignment horizontal="center" vertical="center"/>
    </xf>
    <xf numFmtId="2" fontId="0" fillId="7" borderId="12" xfId="0" applyNumberForma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ACF Data Set y</a:t>
            </a:r>
            <a:r>
              <a:rPr lang="en-US" baseline="-25000"/>
              <a:t>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 Autocorr'!$E$1</c:f>
              <c:strCache>
                <c:ptCount val="1"/>
                <c:pt idx="0">
                  <c:v>ACF yt</c:v>
                </c:pt>
              </c:strCache>
            </c:strRef>
          </c:tx>
          <c:spPr>
            <a:solidFill>
              <a:schemeClr val="accent1"/>
            </a:solidFill>
            <a:ln>
              <a:noFill/>
            </a:ln>
            <a:effectLst/>
          </c:spPr>
          <c:invertIfNegative val="0"/>
          <c:val>
            <c:numRef>
              <c:f>'1. Autocorr'!$E$3:$E$22</c:f>
              <c:numCache>
                <c:formatCode>0.000</c:formatCode>
                <c:ptCount val="20"/>
                <c:pt idx="0">
                  <c:v>0.70808340042279849</c:v>
                </c:pt>
                <c:pt idx="1">
                  <c:v>0.50615267207282055</c:v>
                </c:pt>
                <c:pt idx="2">
                  <c:v>0.42260799437076468</c:v>
                </c:pt>
                <c:pt idx="3">
                  <c:v>0.21860080478153993</c:v>
                </c:pt>
                <c:pt idx="4">
                  <c:v>0.14519652398194871</c:v>
                </c:pt>
                <c:pt idx="5">
                  <c:v>0.1449890994922588</c:v>
                </c:pt>
                <c:pt idx="6">
                  <c:v>7.2395046834013658E-3</c:v>
                </c:pt>
                <c:pt idx="7">
                  <c:v>1.918342041672674E-2</c:v>
                </c:pt>
                <c:pt idx="8">
                  <c:v>-1.0450279107167906E-2</c:v>
                </c:pt>
                <c:pt idx="9">
                  <c:v>-7.6563766708723974E-2</c:v>
                </c:pt>
                <c:pt idx="10">
                  <c:v>-1.3441714946414085E-2</c:v>
                </c:pt>
                <c:pt idx="11">
                  <c:v>2.8666164819956715E-2</c:v>
                </c:pt>
                <c:pt idx="12">
                  <c:v>-8.9884578915821276E-3</c:v>
                </c:pt>
                <c:pt idx="13">
                  <c:v>1.3919719031007579E-2</c:v>
                </c:pt>
                <c:pt idx="14">
                  <c:v>3.0127386432288111E-2</c:v>
                </c:pt>
                <c:pt idx="15">
                  <c:v>5.9034575083897506E-2</c:v>
                </c:pt>
                <c:pt idx="16">
                  <c:v>9.7326047086195647E-2</c:v>
                </c:pt>
                <c:pt idx="17">
                  <c:v>8.8940196934404414E-2</c:v>
                </c:pt>
                <c:pt idx="18">
                  <c:v>-1.1033724233110049E-2</c:v>
                </c:pt>
                <c:pt idx="19">
                  <c:v>-1.3151585513013913E-2</c:v>
                </c:pt>
              </c:numCache>
            </c:numRef>
          </c:val>
          <c:extLst>
            <c:ext xmlns:c16="http://schemas.microsoft.com/office/drawing/2014/chart" uri="{C3380CC4-5D6E-409C-BE32-E72D297353CC}">
              <c16:uniqueId val="{00000000-259A-4A21-A578-B7AC89DE736A}"/>
            </c:ext>
          </c:extLst>
        </c:ser>
        <c:dLbls>
          <c:showLegendKey val="0"/>
          <c:showVal val="0"/>
          <c:showCatName val="0"/>
          <c:showSerName val="0"/>
          <c:showPercent val="0"/>
          <c:showBubbleSize val="0"/>
        </c:dLbls>
        <c:gapWidth val="150"/>
        <c:axId val="702885304"/>
        <c:axId val="702887928"/>
      </c:barChart>
      <c:lineChart>
        <c:grouping val="standard"/>
        <c:varyColors val="0"/>
        <c:ser>
          <c:idx val="2"/>
          <c:order val="1"/>
          <c:tx>
            <c:strRef>
              <c:f>'1. Autocorr'!$G$1</c:f>
              <c:strCache>
                <c:ptCount val="1"/>
                <c:pt idx="0">
                  <c:v>+CI</c:v>
                </c:pt>
              </c:strCache>
            </c:strRef>
          </c:tx>
          <c:spPr>
            <a:ln w="28575" cap="rnd">
              <a:solidFill>
                <a:schemeClr val="accent2"/>
              </a:solidFill>
              <a:round/>
            </a:ln>
            <a:effectLst/>
          </c:spPr>
          <c:marker>
            <c:symbol val="none"/>
          </c:marker>
          <c:val>
            <c:numRef>
              <c:f>'1. Autocorr'!$G$3:$G$22</c:f>
              <c:numCache>
                <c:formatCode>0.000</c:formatCode>
                <c:ptCount val="20"/>
                <c:pt idx="0">
                  <c:v>0.39227079844758717</c:v>
                </c:pt>
                <c:pt idx="1">
                  <c:v>0.43959485952890737</c:v>
                </c:pt>
                <c:pt idx="2">
                  <c:v>0.46977404074948181</c:v>
                </c:pt>
                <c:pt idx="3">
                  <c:v>0.47752558589712119</c:v>
                </c:pt>
                <c:pt idx="4">
                  <c:v>0.48090563973911454</c:v>
                </c:pt>
                <c:pt idx="5">
                  <c:v>0.48425255208064244</c:v>
                </c:pt>
                <c:pt idx="6">
                  <c:v>0.48426086750080566</c:v>
                </c:pt>
                <c:pt idx="7">
                  <c:v>0.48431925080542193</c:v>
                </c:pt>
                <c:pt idx="8">
                  <c:v>0.48433657521404627</c:v>
                </c:pt>
                <c:pt idx="9">
                  <c:v>0.4852655953722364</c:v>
                </c:pt>
                <c:pt idx="10">
                  <c:v>0.48529420150821856</c:v>
                </c:pt>
                <c:pt idx="11">
                  <c:v>0.4854242837525522</c:v>
                </c:pt>
                <c:pt idx="12">
                  <c:v>0.48543707124222768</c:v>
                </c:pt>
                <c:pt idx="13">
                  <c:v>0.48546773719202635</c:v>
                </c:pt>
                <c:pt idx="14">
                  <c:v>0.48561136563143015</c:v>
                </c:pt>
                <c:pt idx="15">
                  <c:v>0.48616245219649545</c:v>
                </c:pt>
                <c:pt idx="16">
                  <c:v>0.48765714448464381</c:v>
                </c:pt>
                <c:pt idx="17">
                  <c:v>0.48890185918602252</c:v>
                </c:pt>
                <c:pt idx="18">
                  <c:v>0.48892099100235753</c:v>
                </c:pt>
                <c:pt idx="19">
                  <c:v>0.48894817088704567</c:v>
                </c:pt>
              </c:numCache>
            </c:numRef>
          </c:val>
          <c:smooth val="0"/>
          <c:extLst>
            <c:ext xmlns:c16="http://schemas.microsoft.com/office/drawing/2014/chart" uri="{C3380CC4-5D6E-409C-BE32-E72D297353CC}">
              <c16:uniqueId val="{00000001-259A-4A21-A578-B7AC89DE736A}"/>
            </c:ext>
          </c:extLst>
        </c:ser>
        <c:ser>
          <c:idx val="1"/>
          <c:order val="2"/>
          <c:tx>
            <c:strRef>
              <c:f>'1. Autocorr'!$F$1</c:f>
              <c:strCache>
                <c:ptCount val="1"/>
                <c:pt idx="0">
                  <c:v>-CI</c:v>
                </c:pt>
              </c:strCache>
            </c:strRef>
          </c:tx>
          <c:spPr>
            <a:ln w="28575" cap="rnd">
              <a:solidFill>
                <a:schemeClr val="accent2"/>
              </a:solidFill>
              <a:round/>
            </a:ln>
            <a:effectLst/>
          </c:spPr>
          <c:marker>
            <c:symbol val="none"/>
          </c:marker>
          <c:val>
            <c:numRef>
              <c:f>'1. Autocorr'!$F$3:$F$22</c:f>
              <c:numCache>
                <c:formatCode>0.000</c:formatCode>
                <c:ptCount val="20"/>
                <c:pt idx="0">
                  <c:v>-0.39227079844758717</c:v>
                </c:pt>
                <c:pt idx="1">
                  <c:v>-0.43959485952890737</c:v>
                </c:pt>
                <c:pt idx="2">
                  <c:v>-0.46977404074948181</c:v>
                </c:pt>
                <c:pt idx="3">
                  <c:v>-0.47752558589712119</c:v>
                </c:pt>
                <c:pt idx="4">
                  <c:v>-0.48090563973911454</c:v>
                </c:pt>
                <c:pt idx="5">
                  <c:v>-0.48425255208064244</c:v>
                </c:pt>
                <c:pt idx="6">
                  <c:v>-0.48426086750080566</c:v>
                </c:pt>
                <c:pt idx="7">
                  <c:v>-0.48431925080542193</c:v>
                </c:pt>
                <c:pt idx="8">
                  <c:v>-0.48433657521404627</c:v>
                </c:pt>
                <c:pt idx="9">
                  <c:v>-0.4852655953722364</c:v>
                </c:pt>
                <c:pt idx="10">
                  <c:v>-0.48529420150821856</c:v>
                </c:pt>
                <c:pt idx="11">
                  <c:v>-0.4854242837525522</c:v>
                </c:pt>
                <c:pt idx="12">
                  <c:v>-0.48543707124222768</c:v>
                </c:pt>
                <c:pt idx="13">
                  <c:v>-0.48546773719202635</c:v>
                </c:pt>
                <c:pt idx="14">
                  <c:v>-0.48561136563143015</c:v>
                </c:pt>
                <c:pt idx="15">
                  <c:v>-0.48616245219649545</c:v>
                </c:pt>
                <c:pt idx="16">
                  <c:v>-0.48765714448464381</c:v>
                </c:pt>
                <c:pt idx="17">
                  <c:v>-0.48890185918602252</c:v>
                </c:pt>
                <c:pt idx="18">
                  <c:v>-0.48892099100235753</c:v>
                </c:pt>
                <c:pt idx="19">
                  <c:v>-0.48894817088704567</c:v>
                </c:pt>
              </c:numCache>
            </c:numRef>
          </c:val>
          <c:smooth val="0"/>
          <c:extLst>
            <c:ext xmlns:c16="http://schemas.microsoft.com/office/drawing/2014/chart" uri="{C3380CC4-5D6E-409C-BE32-E72D297353CC}">
              <c16:uniqueId val="{00000002-259A-4A21-A578-B7AC89DE736A}"/>
            </c:ext>
          </c:extLst>
        </c:ser>
        <c:dLbls>
          <c:showLegendKey val="0"/>
          <c:showVal val="0"/>
          <c:showCatName val="0"/>
          <c:showSerName val="0"/>
          <c:showPercent val="0"/>
          <c:showBubbleSize val="0"/>
        </c:dLbls>
        <c:marker val="1"/>
        <c:smooth val="0"/>
        <c:axId val="702885304"/>
        <c:axId val="702887928"/>
      </c:lineChart>
      <c:catAx>
        <c:axId val="70288530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2887928"/>
        <c:crosses val="autoZero"/>
        <c:auto val="1"/>
        <c:lblAlgn val="ctr"/>
        <c:lblOffset val="100"/>
        <c:noMultiLvlLbl val="0"/>
      </c:catAx>
      <c:valAx>
        <c:axId val="702887928"/>
        <c:scaling>
          <c:orientation val="minMax"/>
          <c:max val="1"/>
          <c:min val="-1"/>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288530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ACF</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'6. Residual'!$N$1</c:f>
              <c:strCache>
                <c:ptCount val="1"/>
                <c:pt idx="0">
                  <c:v>ACF yt</c:v>
                </c:pt>
              </c:strCache>
            </c:strRef>
          </c:tx>
          <c:spPr>
            <a:solidFill>
              <a:schemeClr val="accent1"/>
            </a:solidFill>
            <a:ln>
              <a:noFill/>
            </a:ln>
            <a:effectLst/>
          </c:spPr>
          <c:invertIfNegative val="0"/>
          <c:val>
            <c:numRef>
              <c:f>'6. Residual'!$N$2:$N$22</c:f>
              <c:numCache>
                <c:formatCode>0.000</c:formatCode>
                <c:ptCount val="21"/>
                <c:pt idx="1">
                  <c:v>1.2555583906271321E-3</c:v>
                </c:pt>
                <c:pt idx="2">
                  <c:v>-7.8456736967488352E-2</c:v>
                </c:pt>
                <c:pt idx="3">
                  <c:v>0.24298706436360706</c:v>
                </c:pt>
                <c:pt idx="4">
                  <c:v>-0.15379790085119524</c:v>
                </c:pt>
                <c:pt idx="5">
                  <c:v>-8.1684079920489955E-2</c:v>
                </c:pt>
                <c:pt idx="6">
                  <c:v>0.21583725047463545</c:v>
                </c:pt>
                <c:pt idx="7">
                  <c:v>-0.21284710189286604</c:v>
                </c:pt>
                <c:pt idx="8">
                  <c:v>6.0230865172104527E-2</c:v>
                </c:pt>
                <c:pt idx="9">
                  <c:v>5.6317814831058799E-2</c:v>
                </c:pt>
                <c:pt idx="10">
                  <c:v>-0.19997163099171281</c:v>
                </c:pt>
                <c:pt idx="11">
                  <c:v>2.5422833194614983E-2</c:v>
                </c:pt>
                <c:pt idx="12">
                  <c:v>0.12146036913349774</c:v>
                </c:pt>
                <c:pt idx="13">
                  <c:v>-8.648184724741094E-2</c:v>
                </c:pt>
                <c:pt idx="14">
                  <c:v>1.1318653509035794E-2</c:v>
                </c:pt>
                <c:pt idx="15">
                  <c:v>-1.0770071306309128E-2</c:v>
                </c:pt>
                <c:pt idx="16">
                  <c:v>-7.6643690697744613E-3</c:v>
                </c:pt>
                <c:pt idx="17">
                  <c:v>8.5694800881287725E-2</c:v>
                </c:pt>
                <c:pt idx="18">
                  <c:v>0.14434433131953642</c:v>
                </c:pt>
                <c:pt idx="19">
                  <c:v>-0.13892344818650437</c:v>
                </c:pt>
                <c:pt idx="20">
                  <c:v>3.6537189215572464E-4</c:v>
                </c:pt>
              </c:numCache>
            </c:numRef>
          </c:val>
          <c:extLst>
            <c:ext xmlns:c16="http://schemas.microsoft.com/office/drawing/2014/chart" uri="{C3380CC4-5D6E-409C-BE32-E72D297353CC}">
              <c16:uniqueId val="{00000000-1255-45A5-9335-6A0BAF7F2C47}"/>
            </c:ext>
          </c:extLst>
        </c:ser>
        <c:dLbls>
          <c:showLegendKey val="0"/>
          <c:showVal val="0"/>
          <c:showCatName val="0"/>
          <c:showSerName val="0"/>
          <c:showPercent val="0"/>
          <c:showBubbleSize val="0"/>
        </c:dLbls>
        <c:gapWidth val="150"/>
        <c:axId val="611853544"/>
        <c:axId val="611849280"/>
      </c:barChart>
      <c:lineChart>
        <c:grouping val="standard"/>
        <c:varyColors val="0"/>
        <c:ser>
          <c:idx val="1"/>
          <c:order val="1"/>
          <c:tx>
            <c:strRef>
              <c:f>'6. Residual'!$O$1</c:f>
              <c:strCache>
                <c:ptCount val="1"/>
                <c:pt idx="0">
                  <c:v>-CI</c:v>
                </c:pt>
              </c:strCache>
            </c:strRef>
          </c:tx>
          <c:spPr>
            <a:ln w="28575" cap="rnd">
              <a:solidFill>
                <a:schemeClr val="accent2"/>
              </a:solidFill>
              <a:round/>
            </a:ln>
            <a:effectLst/>
          </c:spPr>
          <c:marker>
            <c:symbol val="none"/>
          </c:marker>
          <c:val>
            <c:numRef>
              <c:f>'6. Residual'!$O$2:$O$22</c:f>
              <c:numCache>
                <c:formatCode>0.000</c:formatCode>
                <c:ptCount val="21"/>
                <c:pt idx="1">
                  <c:v>-0.28290207787629984</c:v>
                </c:pt>
                <c:pt idx="2">
                  <c:v>-0.28463813792742781</c:v>
                </c:pt>
                <c:pt idx="3">
                  <c:v>-0.30078171469585208</c:v>
                </c:pt>
                <c:pt idx="4">
                  <c:v>-0.30701111364899292</c:v>
                </c:pt>
                <c:pt idx="5">
                  <c:v>-0.30874558288216658</c:v>
                </c:pt>
                <c:pt idx="6">
                  <c:v>-0.32059422274055466</c:v>
                </c:pt>
                <c:pt idx="7">
                  <c:v>-0.33171116670884532</c:v>
                </c:pt>
                <c:pt idx="8">
                  <c:v>-0.33258529899699235</c:v>
                </c:pt>
                <c:pt idx="9">
                  <c:v>-0.33334766229585577</c:v>
                </c:pt>
                <c:pt idx="10">
                  <c:v>-0.34281411053304539</c:v>
                </c:pt>
                <c:pt idx="11">
                  <c:v>-0.34296496721999981</c:v>
                </c:pt>
                <c:pt idx="12">
                  <c:v>-0.34639049012856499</c:v>
                </c:pt>
                <c:pt idx="13">
                  <c:v>-0.34811424538988101</c:v>
                </c:pt>
                <c:pt idx="14">
                  <c:v>-0.34814369776131521</c:v>
                </c:pt>
                <c:pt idx="15">
                  <c:v>-0.34817036222750958</c:v>
                </c:pt>
                <c:pt idx="16">
                  <c:v>-0.34818386501721116</c:v>
                </c:pt>
                <c:pt idx="17">
                  <c:v>-0.34986778825047143</c:v>
                </c:pt>
                <c:pt idx="18">
                  <c:v>-0.35460189513283175</c:v>
                </c:pt>
                <c:pt idx="19">
                  <c:v>-0.35893139538504765</c:v>
                </c:pt>
                <c:pt idx="20">
                  <c:v>-0.35893142515168036</c:v>
                </c:pt>
              </c:numCache>
            </c:numRef>
          </c:val>
          <c:smooth val="0"/>
          <c:extLst>
            <c:ext xmlns:c16="http://schemas.microsoft.com/office/drawing/2014/chart" uri="{C3380CC4-5D6E-409C-BE32-E72D297353CC}">
              <c16:uniqueId val="{00000001-1255-45A5-9335-6A0BAF7F2C47}"/>
            </c:ext>
          </c:extLst>
        </c:ser>
        <c:ser>
          <c:idx val="2"/>
          <c:order val="2"/>
          <c:tx>
            <c:strRef>
              <c:f>'6. Residual'!$P$1</c:f>
              <c:strCache>
                <c:ptCount val="1"/>
                <c:pt idx="0">
                  <c:v>+CI</c:v>
                </c:pt>
              </c:strCache>
            </c:strRef>
          </c:tx>
          <c:spPr>
            <a:ln w="28575" cap="rnd">
              <a:solidFill>
                <a:schemeClr val="accent2"/>
              </a:solidFill>
              <a:round/>
            </a:ln>
            <a:effectLst/>
          </c:spPr>
          <c:marker>
            <c:symbol val="none"/>
          </c:marker>
          <c:val>
            <c:numRef>
              <c:f>'6. Residual'!$P$2:$P$22</c:f>
              <c:numCache>
                <c:formatCode>0.000</c:formatCode>
                <c:ptCount val="21"/>
                <c:pt idx="1">
                  <c:v>0.28290207787629984</c:v>
                </c:pt>
                <c:pt idx="2">
                  <c:v>0.28463813792742781</c:v>
                </c:pt>
                <c:pt idx="3">
                  <c:v>0.30078171469585208</c:v>
                </c:pt>
                <c:pt idx="4">
                  <c:v>0.30701111364899292</c:v>
                </c:pt>
                <c:pt idx="5">
                  <c:v>0.30874558288216658</c:v>
                </c:pt>
                <c:pt idx="6">
                  <c:v>0.32059422274055466</c:v>
                </c:pt>
                <c:pt idx="7">
                  <c:v>0.33171116670884532</c:v>
                </c:pt>
                <c:pt idx="8">
                  <c:v>0.33258529899699235</c:v>
                </c:pt>
                <c:pt idx="9">
                  <c:v>0.33334766229585577</c:v>
                </c:pt>
                <c:pt idx="10">
                  <c:v>0.34281411053304539</c:v>
                </c:pt>
                <c:pt idx="11">
                  <c:v>0.34296496721999981</c:v>
                </c:pt>
                <c:pt idx="12">
                  <c:v>0.34639049012856499</c:v>
                </c:pt>
                <c:pt idx="13">
                  <c:v>0.34811424538988101</c:v>
                </c:pt>
                <c:pt idx="14">
                  <c:v>0.34814369776131521</c:v>
                </c:pt>
                <c:pt idx="15">
                  <c:v>0.34817036222750958</c:v>
                </c:pt>
                <c:pt idx="16">
                  <c:v>0.34818386501721116</c:v>
                </c:pt>
                <c:pt idx="17">
                  <c:v>0.34986778825047143</c:v>
                </c:pt>
                <c:pt idx="18">
                  <c:v>0.35460189513283175</c:v>
                </c:pt>
                <c:pt idx="19">
                  <c:v>0.35893139538504765</c:v>
                </c:pt>
                <c:pt idx="20">
                  <c:v>0.35893142515168036</c:v>
                </c:pt>
              </c:numCache>
            </c:numRef>
          </c:val>
          <c:smooth val="0"/>
          <c:extLst>
            <c:ext xmlns:c16="http://schemas.microsoft.com/office/drawing/2014/chart" uri="{C3380CC4-5D6E-409C-BE32-E72D297353CC}">
              <c16:uniqueId val="{00000002-1255-45A5-9335-6A0BAF7F2C47}"/>
            </c:ext>
          </c:extLst>
        </c:ser>
        <c:dLbls>
          <c:showLegendKey val="0"/>
          <c:showVal val="0"/>
          <c:showCatName val="0"/>
          <c:showSerName val="0"/>
          <c:showPercent val="0"/>
          <c:showBubbleSize val="0"/>
        </c:dLbls>
        <c:marker val="1"/>
        <c:smooth val="0"/>
        <c:axId val="611853544"/>
        <c:axId val="611849280"/>
      </c:lineChart>
      <c:catAx>
        <c:axId val="61185354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1849280"/>
        <c:crosses val="autoZero"/>
        <c:auto val="1"/>
        <c:lblAlgn val="ctr"/>
        <c:lblOffset val="100"/>
        <c:noMultiLvlLbl val="0"/>
      </c:catAx>
      <c:valAx>
        <c:axId val="6118492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18535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PCF</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'6. Residual'!$S$1</c:f>
              <c:strCache>
                <c:ptCount val="1"/>
                <c:pt idx="0">
                  <c:v>PACF yt</c:v>
                </c:pt>
              </c:strCache>
            </c:strRef>
          </c:tx>
          <c:spPr>
            <a:solidFill>
              <a:schemeClr val="accent1"/>
            </a:solidFill>
            <a:ln>
              <a:noFill/>
            </a:ln>
            <a:effectLst/>
          </c:spPr>
          <c:invertIfNegative val="0"/>
          <c:val>
            <c:numRef>
              <c:f>'6. Residual'!$S$2:$S$22</c:f>
              <c:numCache>
                <c:formatCode>0.000</c:formatCode>
                <c:ptCount val="21"/>
                <c:pt idx="1">
                  <c:v>1.2555583906271321E-3</c:v>
                </c:pt>
                <c:pt idx="2">
                  <c:v>-7.8458437078349194E-2</c:v>
                </c:pt>
                <c:pt idx="3">
                  <c:v>0.24469848954771056</c:v>
                </c:pt>
                <c:pt idx="4">
                  <c:v>-0.17689687321689221</c:v>
                </c:pt>
                <c:pt idx="5">
                  <c:v>-3.2735289454757101E-2</c:v>
                </c:pt>
                <c:pt idx="6">
                  <c:v>0.1485298215993352</c:v>
                </c:pt>
                <c:pt idx="7">
                  <c:v>-0.18446536713638362</c:v>
                </c:pt>
                <c:pt idx="8">
                  <c:v>0.13443132128243632</c:v>
                </c:pt>
                <c:pt idx="9">
                  <c:v>-0.10323104089232493</c:v>
                </c:pt>
                <c:pt idx="10">
                  <c:v>-5.9317200169084421E-2</c:v>
                </c:pt>
                <c:pt idx="11">
                  <c:v>-1.7460245728692512E-2</c:v>
                </c:pt>
                <c:pt idx="12">
                  <c:v>7.3965895352806427E-2</c:v>
                </c:pt>
                <c:pt idx="13">
                  <c:v>4.0880994885752829E-2</c:v>
                </c:pt>
                <c:pt idx="14">
                  <c:v>-0.10006403173663689</c:v>
                </c:pt>
                <c:pt idx="15">
                  <c:v>-1.484298872714993E-2</c:v>
                </c:pt>
                <c:pt idx="16">
                  <c:v>5.9983552018448211E-2</c:v>
                </c:pt>
                <c:pt idx="17">
                  <c:v>6.1627151662895945E-2</c:v>
                </c:pt>
                <c:pt idx="18">
                  <c:v>4.2127259878212323E-2</c:v>
                </c:pt>
                <c:pt idx="19">
                  <c:v>2.4354524589318333E-2</c:v>
                </c:pt>
                <c:pt idx="20">
                  <c:v>2.1591541146108038E-2</c:v>
                </c:pt>
              </c:numCache>
            </c:numRef>
          </c:val>
          <c:extLst>
            <c:ext xmlns:c16="http://schemas.microsoft.com/office/drawing/2014/chart" uri="{C3380CC4-5D6E-409C-BE32-E72D297353CC}">
              <c16:uniqueId val="{00000000-9061-4368-B9A9-7011ADC42BC6}"/>
            </c:ext>
          </c:extLst>
        </c:ser>
        <c:dLbls>
          <c:showLegendKey val="0"/>
          <c:showVal val="0"/>
          <c:showCatName val="0"/>
          <c:showSerName val="0"/>
          <c:showPercent val="0"/>
          <c:showBubbleSize val="0"/>
        </c:dLbls>
        <c:gapWidth val="150"/>
        <c:axId val="611853544"/>
        <c:axId val="611849280"/>
      </c:barChart>
      <c:lineChart>
        <c:grouping val="standard"/>
        <c:varyColors val="0"/>
        <c:ser>
          <c:idx val="1"/>
          <c:order val="1"/>
          <c:tx>
            <c:strRef>
              <c:f>'6. Residual'!$T$1</c:f>
              <c:strCache>
                <c:ptCount val="1"/>
                <c:pt idx="0">
                  <c:v>-CI</c:v>
                </c:pt>
              </c:strCache>
            </c:strRef>
          </c:tx>
          <c:spPr>
            <a:ln w="28575" cap="rnd">
              <a:solidFill>
                <a:schemeClr val="accent2"/>
              </a:solidFill>
              <a:round/>
            </a:ln>
            <a:effectLst/>
          </c:spPr>
          <c:marker>
            <c:symbol val="none"/>
          </c:marker>
          <c:val>
            <c:numRef>
              <c:f>'6. Residual'!$T$2:$T$22</c:f>
              <c:numCache>
                <c:formatCode>0.000</c:formatCode>
                <c:ptCount val="21"/>
                <c:pt idx="1">
                  <c:v>-0.28290163190291667</c:v>
                </c:pt>
                <c:pt idx="2">
                  <c:v>-0.28290163190291667</c:v>
                </c:pt>
                <c:pt idx="3">
                  <c:v>-0.28290163190291667</c:v>
                </c:pt>
                <c:pt idx="4">
                  <c:v>-0.28290163190291667</c:v>
                </c:pt>
                <c:pt idx="5">
                  <c:v>-0.28290163190291667</c:v>
                </c:pt>
                <c:pt idx="6">
                  <c:v>-0.28290163190291667</c:v>
                </c:pt>
                <c:pt idx="7">
                  <c:v>-0.28290163190291667</c:v>
                </c:pt>
                <c:pt idx="8">
                  <c:v>-0.28290163190291667</c:v>
                </c:pt>
                <c:pt idx="9">
                  <c:v>-0.28290163190291667</c:v>
                </c:pt>
                <c:pt idx="10">
                  <c:v>-0.28290163190291667</c:v>
                </c:pt>
                <c:pt idx="11">
                  <c:v>-0.28290163190291667</c:v>
                </c:pt>
                <c:pt idx="12">
                  <c:v>-0.28290163190291667</c:v>
                </c:pt>
                <c:pt idx="13">
                  <c:v>-0.28290163190291667</c:v>
                </c:pt>
                <c:pt idx="14">
                  <c:v>-0.28290163190291667</c:v>
                </c:pt>
                <c:pt idx="15">
                  <c:v>-0.28290163190291667</c:v>
                </c:pt>
                <c:pt idx="16">
                  <c:v>-0.28290163190291667</c:v>
                </c:pt>
                <c:pt idx="17">
                  <c:v>-0.28290163190291667</c:v>
                </c:pt>
                <c:pt idx="18">
                  <c:v>-0.28290163190291667</c:v>
                </c:pt>
                <c:pt idx="19">
                  <c:v>-0.28290163190291667</c:v>
                </c:pt>
                <c:pt idx="20">
                  <c:v>-0.28290163190291667</c:v>
                </c:pt>
              </c:numCache>
            </c:numRef>
          </c:val>
          <c:smooth val="0"/>
          <c:extLst>
            <c:ext xmlns:c16="http://schemas.microsoft.com/office/drawing/2014/chart" uri="{C3380CC4-5D6E-409C-BE32-E72D297353CC}">
              <c16:uniqueId val="{00000001-9061-4368-B9A9-7011ADC42BC6}"/>
            </c:ext>
          </c:extLst>
        </c:ser>
        <c:ser>
          <c:idx val="2"/>
          <c:order val="2"/>
          <c:tx>
            <c:strRef>
              <c:f>'6. Residual'!$U$1</c:f>
              <c:strCache>
                <c:ptCount val="1"/>
                <c:pt idx="0">
                  <c:v>+CI</c:v>
                </c:pt>
              </c:strCache>
            </c:strRef>
          </c:tx>
          <c:spPr>
            <a:ln w="28575" cap="rnd">
              <a:solidFill>
                <a:schemeClr val="accent2"/>
              </a:solidFill>
              <a:round/>
            </a:ln>
            <a:effectLst/>
          </c:spPr>
          <c:marker>
            <c:symbol val="none"/>
          </c:marker>
          <c:val>
            <c:numRef>
              <c:f>'6. Residual'!$U$2:$U$22</c:f>
              <c:numCache>
                <c:formatCode>0.000</c:formatCode>
                <c:ptCount val="21"/>
                <c:pt idx="1">
                  <c:v>0.28290163190291667</c:v>
                </c:pt>
                <c:pt idx="2">
                  <c:v>0.28290163190291667</c:v>
                </c:pt>
                <c:pt idx="3">
                  <c:v>0.28290163190291667</c:v>
                </c:pt>
                <c:pt idx="4">
                  <c:v>0.28290163190291667</c:v>
                </c:pt>
                <c:pt idx="5">
                  <c:v>0.28290163190291667</c:v>
                </c:pt>
                <c:pt idx="6">
                  <c:v>0.28290163190291667</c:v>
                </c:pt>
                <c:pt idx="7">
                  <c:v>0.28290163190291667</c:v>
                </c:pt>
                <c:pt idx="8">
                  <c:v>0.28290163190291667</c:v>
                </c:pt>
                <c:pt idx="9">
                  <c:v>0.28290163190291667</c:v>
                </c:pt>
                <c:pt idx="10">
                  <c:v>0.28290163190291667</c:v>
                </c:pt>
                <c:pt idx="11">
                  <c:v>0.28290163190291667</c:v>
                </c:pt>
                <c:pt idx="12">
                  <c:v>0.28290163190291667</c:v>
                </c:pt>
                <c:pt idx="13">
                  <c:v>0.28290163190291667</c:v>
                </c:pt>
                <c:pt idx="14">
                  <c:v>0.28290163190291667</c:v>
                </c:pt>
                <c:pt idx="15">
                  <c:v>0.28290163190291667</c:v>
                </c:pt>
                <c:pt idx="16">
                  <c:v>0.28290163190291667</c:v>
                </c:pt>
                <c:pt idx="17">
                  <c:v>0.28290163190291667</c:v>
                </c:pt>
                <c:pt idx="18">
                  <c:v>0.28290163190291667</c:v>
                </c:pt>
                <c:pt idx="19">
                  <c:v>0.28290163190291667</c:v>
                </c:pt>
                <c:pt idx="20">
                  <c:v>0.28290163190291667</c:v>
                </c:pt>
              </c:numCache>
            </c:numRef>
          </c:val>
          <c:smooth val="0"/>
          <c:extLst>
            <c:ext xmlns:c16="http://schemas.microsoft.com/office/drawing/2014/chart" uri="{C3380CC4-5D6E-409C-BE32-E72D297353CC}">
              <c16:uniqueId val="{00000002-9061-4368-B9A9-7011ADC42BC6}"/>
            </c:ext>
          </c:extLst>
        </c:ser>
        <c:dLbls>
          <c:showLegendKey val="0"/>
          <c:showVal val="0"/>
          <c:showCatName val="0"/>
          <c:showSerName val="0"/>
          <c:showPercent val="0"/>
          <c:showBubbleSize val="0"/>
        </c:dLbls>
        <c:marker val="1"/>
        <c:smooth val="0"/>
        <c:axId val="611853544"/>
        <c:axId val="611849280"/>
      </c:lineChart>
      <c:catAx>
        <c:axId val="61185354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1849280"/>
        <c:crosses val="autoZero"/>
        <c:auto val="1"/>
        <c:lblAlgn val="ctr"/>
        <c:lblOffset val="100"/>
        <c:noMultiLvlLbl val="0"/>
      </c:catAx>
      <c:valAx>
        <c:axId val="6118492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18535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a:t>
            </a:r>
            <a:r>
              <a:rPr lang="en-US" baseline="-25000"/>
              <a:t>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'6. Residual'!$B$1</c:f>
              <c:strCache>
                <c:ptCount val="1"/>
                <c:pt idx="0">
                  <c:v>et</c:v>
                </c:pt>
              </c:strCache>
            </c:strRef>
          </c:tx>
          <c:spPr>
            <a:ln w="28575" cap="rnd">
              <a:solidFill>
                <a:schemeClr val="accent1"/>
              </a:solidFill>
              <a:round/>
            </a:ln>
            <a:effectLst/>
          </c:spPr>
          <c:marker>
            <c:symbol val="none"/>
          </c:marker>
          <c:val>
            <c:numRef>
              <c:f>'6. Residual'!$B$2:$B$52</c:f>
              <c:numCache>
                <c:formatCode>0.00</c:formatCode>
                <c:ptCount val="51"/>
                <c:pt idx="1">
                  <c:v>0</c:v>
                </c:pt>
                <c:pt idx="2">
                  <c:v>7.1638362386749215</c:v>
                </c:pt>
                <c:pt idx="3">
                  <c:v>5.5142624245416743</c:v>
                </c:pt>
                <c:pt idx="4">
                  <c:v>1.8122497998948059</c:v>
                </c:pt>
                <c:pt idx="5">
                  <c:v>-0.494026588114445</c:v>
                </c:pt>
                <c:pt idx="6">
                  <c:v>0.79577630693552948</c:v>
                </c:pt>
                <c:pt idx="7">
                  <c:v>-1.5953394410154571</c:v>
                </c:pt>
                <c:pt idx="8">
                  <c:v>-0.33947704231198239</c:v>
                </c:pt>
                <c:pt idx="9">
                  <c:v>-2.7388677907902648</c:v>
                </c:pt>
                <c:pt idx="10">
                  <c:v>4.5158388631898241</c:v>
                </c:pt>
                <c:pt idx="11">
                  <c:v>-0.74126725113460301</c:v>
                </c:pt>
                <c:pt idx="12">
                  <c:v>-2.9467367577399419</c:v>
                </c:pt>
                <c:pt idx="13">
                  <c:v>2.4037444156726826</c:v>
                </c:pt>
                <c:pt idx="14">
                  <c:v>0.80458694926596053</c:v>
                </c:pt>
                <c:pt idx="15">
                  <c:v>-1.0576581961052458</c:v>
                </c:pt>
                <c:pt idx="16">
                  <c:v>2.7069487542238253</c:v>
                </c:pt>
                <c:pt idx="17">
                  <c:v>-2.8214688390116067</c:v>
                </c:pt>
                <c:pt idx="18">
                  <c:v>0.58781998754111542</c:v>
                </c:pt>
                <c:pt idx="19">
                  <c:v>0.64040778803316001</c:v>
                </c:pt>
                <c:pt idx="20">
                  <c:v>2.7382755871578817</c:v>
                </c:pt>
                <c:pt idx="21">
                  <c:v>-2.7562761094151496</c:v>
                </c:pt>
                <c:pt idx="22">
                  <c:v>0.67102132201112341</c:v>
                </c:pt>
                <c:pt idx="23">
                  <c:v>0.73084108838055739</c:v>
                </c:pt>
                <c:pt idx="24">
                  <c:v>-1.1683981032022266</c:v>
                </c:pt>
                <c:pt idx="25">
                  <c:v>-1.4230492546121862</c:v>
                </c:pt>
                <c:pt idx="26">
                  <c:v>0.27954548702782611</c:v>
                </c:pt>
                <c:pt idx="27">
                  <c:v>-1.6587952408958362</c:v>
                </c:pt>
                <c:pt idx="28">
                  <c:v>-1.933521288679996</c:v>
                </c:pt>
                <c:pt idx="29">
                  <c:v>-2.2389847480754952</c:v>
                </c:pt>
                <c:pt idx="30">
                  <c:v>-4.5611772744698662</c:v>
                </c:pt>
                <c:pt idx="31">
                  <c:v>2.7292819925932776</c:v>
                </c:pt>
                <c:pt idx="32">
                  <c:v>-2.513330476276475</c:v>
                </c:pt>
                <c:pt idx="33">
                  <c:v>-4.7129366735015772</c:v>
                </c:pt>
                <c:pt idx="34">
                  <c:v>2.6399160928786629</c:v>
                </c:pt>
                <c:pt idx="35">
                  <c:v>-0.57765389086813812</c:v>
                </c:pt>
                <c:pt idx="36">
                  <c:v>-2.3866142138807804</c:v>
                </c:pt>
                <c:pt idx="37">
                  <c:v>3.4037708702812597</c:v>
                </c:pt>
                <c:pt idx="38">
                  <c:v>0.26632196380731177</c:v>
                </c:pt>
                <c:pt idx="39">
                  <c:v>-1.5060989820371429</c:v>
                </c:pt>
                <c:pt idx="40">
                  <c:v>4.2989304565451194</c:v>
                </c:pt>
                <c:pt idx="41">
                  <c:v>-2.8326605259801476</c:v>
                </c:pt>
                <c:pt idx="42">
                  <c:v>0.63600502243409651</c:v>
                </c:pt>
                <c:pt idx="43">
                  <c:v>4.7168061441586646</c:v>
                </c:pt>
                <c:pt idx="44">
                  <c:v>-0.41275558617216479</c:v>
                </c:pt>
                <c:pt idx="45">
                  <c:v>-2.558244319956728</c:v>
                </c:pt>
                <c:pt idx="46">
                  <c:v>-3.1836879007180863</c:v>
                </c:pt>
                <c:pt idx="47">
                  <c:v>-3.9150894153594762</c:v>
                </c:pt>
                <c:pt idx="48">
                  <c:v>1.3065784694694953</c:v>
                </c:pt>
                <c:pt idx="49">
                  <c:v>1.6513301655206349</c:v>
                </c:pt>
                <c:pt idx="50">
                  <c:v>0.70420024939691706</c:v>
                </c:pt>
              </c:numCache>
            </c:numRef>
          </c:val>
          <c:smooth val="0"/>
          <c:extLst>
            <c:ext xmlns:c16="http://schemas.microsoft.com/office/drawing/2014/chart" uri="{C3380CC4-5D6E-409C-BE32-E72D297353CC}">
              <c16:uniqueId val="{00000000-2A4C-4F70-B5C9-F4E087F57D8F}"/>
            </c:ext>
          </c:extLst>
        </c:ser>
        <c:dLbls>
          <c:showLegendKey val="0"/>
          <c:showVal val="0"/>
          <c:showCatName val="0"/>
          <c:showSerName val="0"/>
          <c:showPercent val="0"/>
          <c:showBubbleSize val="0"/>
        </c:dLbls>
        <c:smooth val="0"/>
        <c:axId val="597428296"/>
        <c:axId val="597428624"/>
      </c:lineChart>
      <c:catAx>
        <c:axId val="59742829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7428624"/>
        <c:crosses val="autoZero"/>
        <c:auto val="1"/>
        <c:lblAlgn val="ctr"/>
        <c:lblOffset val="100"/>
        <c:noMultiLvlLbl val="0"/>
      </c:catAx>
      <c:valAx>
        <c:axId val="5974286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74282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Forecasts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'7. Forecast'!$B$1</c:f>
              <c:strCache>
                <c:ptCount val="1"/>
                <c:pt idx="0">
                  <c:v>yt</c:v>
                </c:pt>
              </c:strCache>
            </c:strRef>
          </c:tx>
          <c:spPr>
            <a:ln w="28575" cap="rnd">
              <a:solidFill>
                <a:schemeClr val="accent1"/>
              </a:solidFill>
              <a:round/>
            </a:ln>
            <a:effectLst/>
          </c:spPr>
          <c:marker>
            <c:symbol val="none"/>
          </c:marker>
          <c:val>
            <c:numRef>
              <c:f>'7. Forecast'!$B$2:$B$51</c:f>
              <c:numCache>
                <c:formatCode>0.00</c:formatCode>
                <c:ptCount val="50"/>
                <c:pt idx="0">
                  <c:v>1.2999999999999998</c:v>
                </c:pt>
                <c:pt idx="1">
                  <c:v>8.6</c:v>
                </c:pt>
                <c:pt idx="2">
                  <c:v>12.132</c:v>
                </c:pt>
                <c:pt idx="3">
                  <c:v>10.9696</c:v>
                </c:pt>
                <c:pt idx="4">
                  <c:v>7.8545599999999984</c:v>
                </c:pt>
                <c:pt idx="5">
                  <c:v>6.9285119999999987</c:v>
                </c:pt>
                <c:pt idx="6">
                  <c:v>3.8660799999999984</c:v>
                </c:pt>
                <c:pt idx="7">
                  <c:v>2.9443020799999982</c:v>
                </c:pt>
                <c:pt idx="8">
                  <c:v>-0.12313113600000225</c:v>
                </c:pt>
                <c:pt idx="9">
                  <c:v>4.9504067583999998</c:v>
                </c:pt>
                <c:pt idx="10">
                  <c:v>3.2800263884799983</c:v>
                </c:pt>
                <c:pt idx="11">
                  <c:v>-8.8043970560002904E-2</c:v>
                </c:pt>
                <c:pt idx="12">
                  <c:v>2.8647606013951963</c:v>
                </c:pt>
                <c:pt idx="13">
                  <c:v>3.345895516405756</c:v>
                </c:pt>
                <c:pt idx="14">
                  <c:v>1.8383547169013719</c:v>
                </c:pt>
                <c:pt idx="15">
                  <c:v>4.535340490896175</c:v>
                </c:pt>
                <c:pt idx="16">
                  <c:v>0.91413563801271902</c:v>
                </c:pt>
                <c:pt idx="17">
                  <c:v>1.7656540318667853</c:v>
                </c:pt>
                <c:pt idx="18">
                  <c:v>2.4062615234113913</c:v>
                </c:pt>
                <c:pt idx="19">
                  <c:v>4.962504573630425</c:v>
                </c:pt>
                <c:pt idx="20">
                  <c:v>1.2850018151585152</c:v>
                </c:pt>
                <c:pt idx="21">
                  <c:v>2.1140007203459419</c:v>
                </c:pt>
                <c:pt idx="22">
                  <c:v>2.7456002858513884</c:v>
                </c:pt>
                <c:pt idx="23">
                  <c:v>1.2982401134257575</c:v>
                </c:pt>
                <c:pt idx="24">
                  <c:v>1.9296045004381313E-2</c:v>
                </c:pt>
                <c:pt idx="25">
                  <c:v>0.8077184178553809</c:v>
                </c:pt>
                <c:pt idx="26">
                  <c:v>-0.57691263291639938</c:v>
                </c:pt>
                <c:pt idx="27">
                  <c:v>-1.8307650531899835</c:v>
                </c:pt>
                <c:pt idx="28">
                  <c:v>-3.0323060212853661</c:v>
                </c:pt>
                <c:pt idx="29">
                  <c:v>-6.2129224085178993</c:v>
                </c:pt>
                <c:pt idx="30">
                  <c:v>-1.1851689634086644</c:v>
                </c:pt>
                <c:pt idx="31">
                  <c:v>-2.8740675853640711</c:v>
                </c:pt>
                <c:pt idx="32">
                  <c:v>-6.2496270341458739</c:v>
                </c:pt>
                <c:pt idx="33">
                  <c:v>-1.2998508136584519</c:v>
                </c:pt>
                <c:pt idx="34">
                  <c:v>-1.0199403254634252</c:v>
                </c:pt>
                <c:pt idx="35">
                  <c:v>-2.6079761301853921</c:v>
                </c:pt>
                <c:pt idx="36">
                  <c:v>2.0568095479258304</c:v>
                </c:pt>
                <c:pt idx="37">
                  <c:v>2.2227238191703229</c:v>
                </c:pt>
                <c:pt idx="38">
                  <c:v>0.58908952766812117</c:v>
                </c:pt>
                <c:pt idx="39">
                  <c:v>5.2356358110672412</c:v>
                </c:pt>
                <c:pt idx="40">
                  <c:v>1.3942543244268895</c:v>
                </c:pt>
                <c:pt idx="41">
                  <c:v>2.1577017297707481</c:v>
                </c:pt>
                <c:pt idx="42">
                  <c:v>6.763080691908292</c:v>
                </c:pt>
                <c:pt idx="43">
                  <c:v>4.905232276763309</c:v>
                </c:pt>
                <c:pt idx="44">
                  <c:v>1.4620929107053158</c:v>
                </c:pt>
                <c:pt idx="45">
                  <c:v>-1.6151628357178818</c:v>
                </c:pt>
                <c:pt idx="46">
                  <c:v>-4.5460651342871614</c:v>
                </c:pt>
                <c:pt idx="47">
                  <c:v>-1.4184260537148732</c:v>
                </c:pt>
                <c:pt idx="48">
                  <c:v>1.1326295785140421</c:v>
                </c:pt>
                <c:pt idx="49">
                  <c:v>2.0099999999999998</c:v>
                </c:pt>
              </c:numCache>
            </c:numRef>
          </c:val>
          <c:smooth val="0"/>
          <c:extLst>
            <c:ext xmlns:c16="http://schemas.microsoft.com/office/drawing/2014/chart" uri="{C3380CC4-5D6E-409C-BE32-E72D297353CC}">
              <c16:uniqueId val="{00000000-10C0-4D87-A2A1-497259EF0558}"/>
            </c:ext>
          </c:extLst>
        </c:ser>
        <c:ser>
          <c:idx val="1"/>
          <c:order val="1"/>
          <c:tx>
            <c:strRef>
              <c:f>'7. Forecast'!$C$1</c:f>
              <c:strCache>
                <c:ptCount val="1"/>
                <c:pt idx="0">
                  <c:v>ŷt</c:v>
                </c:pt>
              </c:strCache>
            </c:strRef>
          </c:tx>
          <c:spPr>
            <a:ln w="28575" cap="rnd">
              <a:solidFill>
                <a:schemeClr val="accent2"/>
              </a:solidFill>
              <a:round/>
            </a:ln>
            <a:effectLst/>
          </c:spPr>
          <c:marker>
            <c:symbol val="none"/>
          </c:marker>
          <c:val>
            <c:numRef>
              <c:f>'7. Forecast'!$C$2:$C$61</c:f>
              <c:numCache>
                <c:formatCode>0.00</c:formatCode>
                <c:ptCount val="60"/>
                <c:pt idx="0">
                  <c:v>1.2999999999999998</c:v>
                </c:pt>
                <c:pt idx="1">
                  <c:v>1.4361637613250777</c:v>
                </c:pt>
                <c:pt idx="2">
                  <c:v>6.6177375754583254</c:v>
                </c:pt>
                <c:pt idx="3">
                  <c:v>9.1573502001051938</c:v>
                </c:pt>
                <c:pt idx="4">
                  <c:v>8.3485865881144434</c:v>
                </c:pt>
                <c:pt idx="5">
                  <c:v>6.1327356930644692</c:v>
                </c:pt>
                <c:pt idx="6">
                  <c:v>5.4614194410154555</c:v>
                </c:pt>
                <c:pt idx="7">
                  <c:v>3.2837791223119805</c:v>
                </c:pt>
                <c:pt idx="8">
                  <c:v>2.6157366547902625</c:v>
                </c:pt>
                <c:pt idx="9">
                  <c:v>0.43456789521017586</c:v>
                </c:pt>
                <c:pt idx="10">
                  <c:v>4.0212936396146013</c:v>
                </c:pt>
                <c:pt idx="11">
                  <c:v>2.858692787179939</c:v>
                </c:pt>
                <c:pt idx="12">
                  <c:v>0.46101618572251385</c:v>
                </c:pt>
                <c:pt idx="13">
                  <c:v>2.5413085671397955</c:v>
                </c:pt>
                <c:pt idx="14">
                  <c:v>2.8960129130066177</c:v>
                </c:pt>
                <c:pt idx="15">
                  <c:v>1.8283917366723497</c:v>
                </c:pt>
                <c:pt idx="16">
                  <c:v>3.7356044770243257</c:v>
                </c:pt>
                <c:pt idx="17">
                  <c:v>1.1778340443256696</c:v>
                </c:pt>
                <c:pt idx="18">
                  <c:v>1.7658537353782315</c:v>
                </c:pt>
                <c:pt idx="19">
                  <c:v>2.2242289864725433</c:v>
                </c:pt>
                <c:pt idx="20">
                  <c:v>4.0412779245736647</c:v>
                </c:pt>
                <c:pt idx="21">
                  <c:v>1.4429793983348183</c:v>
                </c:pt>
                <c:pt idx="22">
                  <c:v>2.014759197470831</c:v>
                </c:pt>
                <c:pt idx="23">
                  <c:v>2.4666382166279837</c:v>
                </c:pt>
                <c:pt idx="24">
                  <c:v>1.4423452996165678</c:v>
                </c:pt>
                <c:pt idx="25">
                  <c:v>0.5281729308275549</c:v>
                </c:pt>
                <c:pt idx="26">
                  <c:v>1.081882607979437</c:v>
                </c:pt>
                <c:pt idx="27">
                  <c:v>0.10275623549001239</c:v>
                </c:pt>
                <c:pt idx="28">
                  <c:v>-0.79332127320987122</c:v>
                </c:pt>
                <c:pt idx="29">
                  <c:v>-1.6517451340480331</c:v>
                </c:pt>
                <c:pt idx="30">
                  <c:v>-3.914450956001942</c:v>
                </c:pt>
                <c:pt idx="31">
                  <c:v>-0.36073710908759604</c:v>
                </c:pt>
                <c:pt idx="32">
                  <c:v>-1.5366903606442972</c:v>
                </c:pt>
                <c:pt idx="33">
                  <c:v>-3.9397669065371144</c:v>
                </c:pt>
                <c:pt idx="34">
                  <c:v>-0.44228643459528705</c:v>
                </c:pt>
                <c:pt idx="35">
                  <c:v>-0.22136191630461144</c:v>
                </c:pt>
                <c:pt idx="36">
                  <c:v>-1.3469613223554293</c:v>
                </c:pt>
                <c:pt idx="37">
                  <c:v>1.9564018553630111</c:v>
                </c:pt>
                <c:pt idx="38">
                  <c:v>2.095188509705264</c:v>
                </c:pt>
                <c:pt idx="39">
                  <c:v>0.936705354522122</c:v>
                </c:pt>
                <c:pt idx="40">
                  <c:v>4.2269148504070362</c:v>
                </c:pt>
                <c:pt idx="41">
                  <c:v>1.5216967073366514</c:v>
                </c:pt>
                <c:pt idx="42">
                  <c:v>2.0462745477496274</c:v>
                </c:pt>
                <c:pt idx="43">
                  <c:v>5.3179878629354738</c:v>
                </c:pt>
                <c:pt idx="44">
                  <c:v>4.0203372306620437</c:v>
                </c:pt>
                <c:pt idx="45">
                  <c:v>1.5685250650002045</c:v>
                </c:pt>
                <c:pt idx="46">
                  <c:v>-0.63097571892768534</c:v>
                </c:pt>
                <c:pt idx="47">
                  <c:v>-2.7250045231843685</c:v>
                </c:pt>
                <c:pt idx="48">
                  <c:v>-0.51870058700659294</c:v>
                </c:pt>
                <c:pt idx="49">
                  <c:v>1.3057997506030827</c:v>
                </c:pt>
                <c:pt idx="50">
                  <c:v>1.4403167016872571</c:v>
                </c:pt>
                <c:pt idx="51">
                  <c:v>1.5366382357990571</c:v>
                </c:pt>
                <c:pt idx="52">
                  <c:v>1.6056097509789171</c:v>
                </c:pt>
                <c:pt idx="53">
                  <c:v>1.6549971486161281</c:v>
                </c:pt>
                <c:pt idx="54">
                  <c:v>1.6903612411551339</c:v>
                </c:pt>
                <c:pt idx="55">
                  <c:v>1.7156838760972324</c:v>
                </c:pt>
                <c:pt idx="56">
                  <c:v>1.7338162752165802</c:v>
                </c:pt>
                <c:pt idx="57">
                  <c:v>1.7468000700931836</c:v>
                </c:pt>
                <c:pt idx="58">
                  <c:v>1.7560971812083825</c:v>
                </c:pt>
                <c:pt idx="59">
                  <c:v>1.7627544240183499</c:v>
                </c:pt>
              </c:numCache>
            </c:numRef>
          </c:val>
          <c:smooth val="0"/>
          <c:extLst>
            <c:ext xmlns:c16="http://schemas.microsoft.com/office/drawing/2014/chart" uri="{C3380CC4-5D6E-409C-BE32-E72D297353CC}">
              <c16:uniqueId val="{00000001-10C0-4D87-A2A1-497259EF0558}"/>
            </c:ext>
          </c:extLst>
        </c:ser>
        <c:dLbls>
          <c:showLegendKey val="0"/>
          <c:showVal val="0"/>
          <c:showCatName val="0"/>
          <c:showSerName val="0"/>
          <c:showPercent val="0"/>
          <c:showBubbleSize val="0"/>
        </c:dLbls>
        <c:smooth val="0"/>
        <c:axId val="611842064"/>
        <c:axId val="611839768"/>
      </c:lineChart>
      <c:catAx>
        <c:axId val="61184206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1839768"/>
        <c:crosses val="autoZero"/>
        <c:auto val="1"/>
        <c:lblAlgn val="ctr"/>
        <c:lblOffset val="100"/>
        <c:noMultiLvlLbl val="0"/>
      </c:catAx>
      <c:valAx>
        <c:axId val="61183976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18420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a:t>
            </a:r>
            <a:r>
              <a:rPr lang="en-US" baseline="-25000"/>
              <a:t>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'7. Forecast'!$D$1</c:f>
              <c:strCache>
                <c:ptCount val="1"/>
                <c:pt idx="0">
                  <c:v>at</c:v>
                </c:pt>
              </c:strCache>
            </c:strRef>
          </c:tx>
          <c:spPr>
            <a:ln w="28575" cap="rnd">
              <a:solidFill>
                <a:schemeClr val="accent1"/>
              </a:solidFill>
              <a:round/>
            </a:ln>
            <a:effectLst/>
          </c:spPr>
          <c:marker>
            <c:symbol val="none"/>
          </c:marker>
          <c:val>
            <c:numRef>
              <c:f>'7. Forecast'!$D$2:$D$51</c:f>
              <c:numCache>
                <c:formatCode>0.00</c:formatCode>
                <c:ptCount val="50"/>
                <c:pt idx="0">
                  <c:v>0</c:v>
                </c:pt>
                <c:pt idx="1">
                  <c:v>7.1638362386749215</c:v>
                </c:pt>
                <c:pt idx="2">
                  <c:v>5.5142624245416743</c:v>
                </c:pt>
                <c:pt idx="3">
                  <c:v>1.8122497998948059</c:v>
                </c:pt>
                <c:pt idx="4">
                  <c:v>-0.494026588114445</c:v>
                </c:pt>
                <c:pt idx="5">
                  <c:v>0.79577630693552948</c:v>
                </c:pt>
                <c:pt idx="6">
                  <c:v>-1.5953394410154571</c:v>
                </c:pt>
                <c:pt idx="7">
                  <c:v>-0.33947704231198239</c:v>
                </c:pt>
                <c:pt idx="8">
                  <c:v>-2.7388677907902648</c:v>
                </c:pt>
                <c:pt idx="9">
                  <c:v>4.5158388631898241</c:v>
                </c:pt>
                <c:pt idx="10">
                  <c:v>-0.74126725113460301</c:v>
                </c:pt>
                <c:pt idx="11">
                  <c:v>-2.9467367577399419</c:v>
                </c:pt>
                <c:pt idx="12">
                  <c:v>2.4037444156726826</c:v>
                </c:pt>
                <c:pt idx="13">
                  <c:v>0.80458694926596053</c:v>
                </c:pt>
                <c:pt idx="14">
                  <c:v>-1.0576581961052458</c:v>
                </c:pt>
                <c:pt idx="15">
                  <c:v>2.7069487542238253</c:v>
                </c:pt>
                <c:pt idx="16">
                  <c:v>-2.8214688390116067</c:v>
                </c:pt>
                <c:pt idx="17">
                  <c:v>0.58781998754111564</c:v>
                </c:pt>
                <c:pt idx="18">
                  <c:v>0.64040778803315979</c:v>
                </c:pt>
                <c:pt idx="19">
                  <c:v>2.7382755871578817</c:v>
                </c:pt>
                <c:pt idx="20">
                  <c:v>-2.7562761094151496</c:v>
                </c:pt>
                <c:pt idx="21">
                  <c:v>0.67102132201112363</c:v>
                </c:pt>
                <c:pt idx="22">
                  <c:v>0.73084108838055739</c:v>
                </c:pt>
                <c:pt idx="23">
                  <c:v>-1.1683981032022261</c:v>
                </c:pt>
                <c:pt idx="24">
                  <c:v>-1.4230492546121865</c:v>
                </c:pt>
                <c:pt idx="25">
                  <c:v>0.279545487027826</c:v>
                </c:pt>
                <c:pt idx="26">
                  <c:v>-1.6587952408958364</c:v>
                </c:pt>
                <c:pt idx="27">
                  <c:v>-1.933521288679996</c:v>
                </c:pt>
                <c:pt idx="28">
                  <c:v>-2.2389847480754947</c:v>
                </c:pt>
                <c:pt idx="29">
                  <c:v>-4.5611772744698662</c:v>
                </c:pt>
                <c:pt idx="30">
                  <c:v>2.7292819925932776</c:v>
                </c:pt>
                <c:pt idx="31">
                  <c:v>-2.513330476276475</c:v>
                </c:pt>
                <c:pt idx="32">
                  <c:v>-4.7129366735015772</c:v>
                </c:pt>
                <c:pt idx="33">
                  <c:v>2.6399160928786625</c:v>
                </c:pt>
                <c:pt idx="34">
                  <c:v>-0.57765389086813812</c:v>
                </c:pt>
                <c:pt idx="35">
                  <c:v>-2.3866142138807804</c:v>
                </c:pt>
                <c:pt idx="36">
                  <c:v>3.4037708702812597</c:v>
                </c:pt>
                <c:pt idx="37">
                  <c:v>0.26632196380731177</c:v>
                </c:pt>
                <c:pt idx="38">
                  <c:v>-1.5060989820371429</c:v>
                </c:pt>
                <c:pt idx="39">
                  <c:v>4.2989304565451194</c:v>
                </c:pt>
                <c:pt idx="40">
                  <c:v>-2.8326605259801467</c:v>
                </c:pt>
                <c:pt idx="41">
                  <c:v>0.63600502243409673</c:v>
                </c:pt>
                <c:pt idx="42">
                  <c:v>4.7168061441586646</c:v>
                </c:pt>
                <c:pt idx="43">
                  <c:v>-0.41275558617216479</c:v>
                </c:pt>
                <c:pt idx="44">
                  <c:v>-2.558244319956728</c:v>
                </c:pt>
                <c:pt idx="45">
                  <c:v>-3.1836879007180863</c:v>
                </c:pt>
                <c:pt idx="46">
                  <c:v>-3.9150894153594762</c:v>
                </c:pt>
                <c:pt idx="47">
                  <c:v>1.3065784694694953</c:v>
                </c:pt>
                <c:pt idx="48">
                  <c:v>1.6513301655206352</c:v>
                </c:pt>
                <c:pt idx="49">
                  <c:v>0.70420024939691706</c:v>
                </c:pt>
              </c:numCache>
            </c:numRef>
          </c:val>
          <c:smooth val="0"/>
          <c:extLst>
            <c:ext xmlns:c16="http://schemas.microsoft.com/office/drawing/2014/chart" uri="{C3380CC4-5D6E-409C-BE32-E72D297353CC}">
              <c16:uniqueId val="{00000000-AAA9-4EB4-8365-CBC0C9017033}"/>
            </c:ext>
          </c:extLst>
        </c:ser>
        <c:dLbls>
          <c:showLegendKey val="0"/>
          <c:showVal val="0"/>
          <c:showCatName val="0"/>
          <c:showSerName val="0"/>
          <c:showPercent val="0"/>
          <c:showBubbleSize val="0"/>
        </c:dLbls>
        <c:smooth val="0"/>
        <c:axId val="470190112"/>
        <c:axId val="470193064"/>
      </c:lineChart>
      <c:catAx>
        <c:axId val="47019011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0193064"/>
        <c:crosses val="autoZero"/>
        <c:auto val="1"/>
        <c:lblAlgn val="ctr"/>
        <c:lblOffset val="100"/>
        <c:noMultiLvlLbl val="0"/>
      </c:catAx>
      <c:valAx>
        <c:axId val="47019306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01901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Forecasts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'8. Forecast interval'!$B$1</c:f>
              <c:strCache>
                <c:ptCount val="1"/>
                <c:pt idx="0">
                  <c:v>yt</c:v>
                </c:pt>
              </c:strCache>
            </c:strRef>
          </c:tx>
          <c:spPr>
            <a:ln w="28575" cap="rnd">
              <a:solidFill>
                <a:schemeClr val="accent1"/>
              </a:solidFill>
              <a:round/>
            </a:ln>
            <a:effectLst/>
          </c:spPr>
          <c:marker>
            <c:symbol val="none"/>
          </c:marker>
          <c:val>
            <c:numRef>
              <c:f>'8. Forecast interval'!$B$2:$B$51</c:f>
              <c:numCache>
                <c:formatCode>0.00</c:formatCode>
                <c:ptCount val="50"/>
                <c:pt idx="0">
                  <c:v>1.2999999999999998</c:v>
                </c:pt>
                <c:pt idx="1">
                  <c:v>8.6</c:v>
                </c:pt>
                <c:pt idx="2">
                  <c:v>12.132</c:v>
                </c:pt>
                <c:pt idx="3">
                  <c:v>10.9696</c:v>
                </c:pt>
                <c:pt idx="4">
                  <c:v>7.8545599999999984</c:v>
                </c:pt>
                <c:pt idx="5">
                  <c:v>6.9285119999999987</c:v>
                </c:pt>
                <c:pt idx="6">
                  <c:v>3.8660799999999984</c:v>
                </c:pt>
                <c:pt idx="7">
                  <c:v>2.9443020799999982</c:v>
                </c:pt>
                <c:pt idx="8">
                  <c:v>-0.12313113600000225</c:v>
                </c:pt>
                <c:pt idx="9">
                  <c:v>4.9504067583999998</c:v>
                </c:pt>
                <c:pt idx="10">
                  <c:v>3.2800263884799983</c:v>
                </c:pt>
                <c:pt idx="11">
                  <c:v>-8.8043970560002904E-2</c:v>
                </c:pt>
                <c:pt idx="12">
                  <c:v>2.8647606013951963</c:v>
                </c:pt>
                <c:pt idx="13">
                  <c:v>3.345895516405756</c:v>
                </c:pt>
                <c:pt idx="14">
                  <c:v>1.8383547169013719</c:v>
                </c:pt>
                <c:pt idx="15">
                  <c:v>4.535340490896175</c:v>
                </c:pt>
                <c:pt idx="16">
                  <c:v>0.91413563801271902</c:v>
                </c:pt>
                <c:pt idx="17">
                  <c:v>1.7656540318667853</c:v>
                </c:pt>
                <c:pt idx="18">
                  <c:v>2.4062615234113913</c:v>
                </c:pt>
                <c:pt idx="19">
                  <c:v>4.962504573630425</c:v>
                </c:pt>
                <c:pt idx="20">
                  <c:v>1.2850018151585152</c:v>
                </c:pt>
                <c:pt idx="21">
                  <c:v>2.1140007203459419</c:v>
                </c:pt>
                <c:pt idx="22">
                  <c:v>2.7456002858513884</c:v>
                </c:pt>
                <c:pt idx="23">
                  <c:v>1.2982401134257575</c:v>
                </c:pt>
                <c:pt idx="24">
                  <c:v>1.9296045004381313E-2</c:v>
                </c:pt>
                <c:pt idx="25">
                  <c:v>0.8077184178553809</c:v>
                </c:pt>
                <c:pt idx="26">
                  <c:v>-0.57691263291639938</c:v>
                </c:pt>
                <c:pt idx="27">
                  <c:v>-1.8307650531899835</c:v>
                </c:pt>
                <c:pt idx="28">
                  <c:v>-3.0323060212853661</c:v>
                </c:pt>
                <c:pt idx="29">
                  <c:v>-6.2129224085178993</c:v>
                </c:pt>
                <c:pt idx="30">
                  <c:v>-1.1851689634086644</c:v>
                </c:pt>
                <c:pt idx="31">
                  <c:v>-2.8740675853640711</c:v>
                </c:pt>
                <c:pt idx="32">
                  <c:v>-6.2496270341458739</c:v>
                </c:pt>
                <c:pt idx="33">
                  <c:v>-1.2998508136584519</c:v>
                </c:pt>
                <c:pt idx="34">
                  <c:v>-1.0199403254634252</c:v>
                </c:pt>
                <c:pt idx="35">
                  <c:v>-2.6079761301853921</c:v>
                </c:pt>
                <c:pt idx="36">
                  <c:v>2.0568095479258304</c:v>
                </c:pt>
                <c:pt idx="37">
                  <c:v>2.2227238191703229</c:v>
                </c:pt>
                <c:pt idx="38">
                  <c:v>0.58908952766812117</c:v>
                </c:pt>
                <c:pt idx="39">
                  <c:v>5.2356358110672412</c:v>
                </c:pt>
                <c:pt idx="40">
                  <c:v>1.3942543244268895</c:v>
                </c:pt>
                <c:pt idx="41">
                  <c:v>2.1577017297707481</c:v>
                </c:pt>
                <c:pt idx="42">
                  <c:v>6.763080691908292</c:v>
                </c:pt>
                <c:pt idx="43">
                  <c:v>4.905232276763309</c:v>
                </c:pt>
                <c:pt idx="44">
                  <c:v>1.4620929107053158</c:v>
                </c:pt>
                <c:pt idx="45">
                  <c:v>-1.6151628357178818</c:v>
                </c:pt>
                <c:pt idx="46">
                  <c:v>-4.5460651342871614</c:v>
                </c:pt>
                <c:pt idx="47">
                  <c:v>-1.4184260537148732</c:v>
                </c:pt>
                <c:pt idx="48">
                  <c:v>1.1326295785140421</c:v>
                </c:pt>
                <c:pt idx="49">
                  <c:v>2.0099999999999998</c:v>
                </c:pt>
              </c:numCache>
            </c:numRef>
          </c:val>
          <c:smooth val="0"/>
          <c:extLst>
            <c:ext xmlns:c16="http://schemas.microsoft.com/office/drawing/2014/chart" uri="{C3380CC4-5D6E-409C-BE32-E72D297353CC}">
              <c16:uniqueId val="{00000000-DC16-4743-89B0-A638716324D5}"/>
            </c:ext>
          </c:extLst>
        </c:ser>
        <c:ser>
          <c:idx val="1"/>
          <c:order val="1"/>
          <c:tx>
            <c:strRef>
              <c:f>'8. Forecast interval'!$C$1</c:f>
              <c:strCache>
                <c:ptCount val="1"/>
                <c:pt idx="0">
                  <c:v>ŷt</c:v>
                </c:pt>
              </c:strCache>
            </c:strRef>
          </c:tx>
          <c:spPr>
            <a:ln w="28575" cap="rnd">
              <a:solidFill>
                <a:schemeClr val="accent2"/>
              </a:solidFill>
              <a:round/>
            </a:ln>
            <a:effectLst/>
          </c:spPr>
          <c:marker>
            <c:symbol val="none"/>
          </c:marker>
          <c:val>
            <c:numRef>
              <c:f>'8. Forecast interval'!$C$2:$C$61</c:f>
              <c:numCache>
                <c:formatCode>0.00</c:formatCode>
                <c:ptCount val="60"/>
                <c:pt idx="0">
                  <c:v>1.2999999999999998</c:v>
                </c:pt>
                <c:pt idx="1">
                  <c:v>1.4361637613250777</c:v>
                </c:pt>
                <c:pt idx="2">
                  <c:v>6.6177375754583254</c:v>
                </c:pt>
                <c:pt idx="3">
                  <c:v>9.1573502001051938</c:v>
                </c:pt>
                <c:pt idx="4">
                  <c:v>8.3485865881144434</c:v>
                </c:pt>
                <c:pt idx="5">
                  <c:v>6.1327356930644692</c:v>
                </c:pt>
                <c:pt idx="6">
                  <c:v>5.4614194410154555</c:v>
                </c:pt>
                <c:pt idx="7">
                  <c:v>3.2837791223119805</c:v>
                </c:pt>
                <c:pt idx="8">
                  <c:v>2.6157366547902625</c:v>
                </c:pt>
                <c:pt idx="9">
                  <c:v>0.43456789521017586</c:v>
                </c:pt>
                <c:pt idx="10">
                  <c:v>4.0212936396146013</c:v>
                </c:pt>
                <c:pt idx="11">
                  <c:v>2.858692787179939</c:v>
                </c:pt>
                <c:pt idx="12">
                  <c:v>0.46101618572251385</c:v>
                </c:pt>
                <c:pt idx="13">
                  <c:v>2.5413085671397955</c:v>
                </c:pt>
                <c:pt idx="14">
                  <c:v>2.8960129130066177</c:v>
                </c:pt>
                <c:pt idx="15">
                  <c:v>1.8283917366723497</c:v>
                </c:pt>
                <c:pt idx="16">
                  <c:v>3.7356044770243257</c:v>
                </c:pt>
                <c:pt idx="17">
                  <c:v>1.1778340443256696</c:v>
                </c:pt>
                <c:pt idx="18">
                  <c:v>1.7658537353782315</c:v>
                </c:pt>
                <c:pt idx="19">
                  <c:v>2.2242289864725433</c:v>
                </c:pt>
                <c:pt idx="20">
                  <c:v>4.0412779245736647</c:v>
                </c:pt>
                <c:pt idx="21">
                  <c:v>1.4429793983348183</c:v>
                </c:pt>
                <c:pt idx="22">
                  <c:v>2.014759197470831</c:v>
                </c:pt>
                <c:pt idx="23">
                  <c:v>2.4666382166279837</c:v>
                </c:pt>
                <c:pt idx="24">
                  <c:v>1.4423452996165678</c:v>
                </c:pt>
                <c:pt idx="25">
                  <c:v>0.5281729308275549</c:v>
                </c:pt>
                <c:pt idx="26">
                  <c:v>1.081882607979437</c:v>
                </c:pt>
                <c:pt idx="27">
                  <c:v>0.10275623549001239</c:v>
                </c:pt>
                <c:pt idx="28">
                  <c:v>-0.79332127320987122</c:v>
                </c:pt>
                <c:pt idx="29">
                  <c:v>-1.6517451340480331</c:v>
                </c:pt>
                <c:pt idx="30">
                  <c:v>-3.914450956001942</c:v>
                </c:pt>
                <c:pt idx="31">
                  <c:v>-0.36073710908759604</c:v>
                </c:pt>
                <c:pt idx="32">
                  <c:v>-1.5366903606442972</c:v>
                </c:pt>
                <c:pt idx="33">
                  <c:v>-3.9397669065371144</c:v>
                </c:pt>
                <c:pt idx="34">
                  <c:v>-0.44228643459528705</c:v>
                </c:pt>
                <c:pt idx="35">
                  <c:v>-0.22136191630461144</c:v>
                </c:pt>
                <c:pt idx="36">
                  <c:v>-1.3469613223554293</c:v>
                </c:pt>
                <c:pt idx="37">
                  <c:v>1.9564018553630111</c:v>
                </c:pt>
                <c:pt idx="38">
                  <c:v>2.095188509705264</c:v>
                </c:pt>
                <c:pt idx="39">
                  <c:v>0.936705354522122</c:v>
                </c:pt>
                <c:pt idx="40">
                  <c:v>4.2269148504070362</c:v>
                </c:pt>
                <c:pt idx="41">
                  <c:v>1.5216967073366514</c:v>
                </c:pt>
                <c:pt idx="42">
                  <c:v>2.0462745477496274</c:v>
                </c:pt>
                <c:pt idx="43">
                  <c:v>5.3179878629354738</c:v>
                </c:pt>
                <c:pt idx="44">
                  <c:v>4.0203372306620437</c:v>
                </c:pt>
                <c:pt idx="45">
                  <c:v>1.5685250650002045</c:v>
                </c:pt>
                <c:pt idx="46">
                  <c:v>-0.63097571892768534</c:v>
                </c:pt>
                <c:pt idx="47">
                  <c:v>-2.7250045231843685</c:v>
                </c:pt>
                <c:pt idx="48">
                  <c:v>-0.51870058700659294</c:v>
                </c:pt>
                <c:pt idx="49">
                  <c:v>1.3057997506030827</c:v>
                </c:pt>
                <c:pt idx="50">
                  <c:v>1.4403167016872571</c:v>
                </c:pt>
                <c:pt idx="51">
                  <c:v>1.5366382357990571</c:v>
                </c:pt>
                <c:pt idx="52">
                  <c:v>1.6056097509789171</c:v>
                </c:pt>
                <c:pt idx="53">
                  <c:v>1.6549971486161281</c:v>
                </c:pt>
                <c:pt idx="54">
                  <c:v>1.6903612411551339</c:v>
                </c:pt>
                <c:pt idx="55">
                  <c:v>1.7156838760972324</c:v>
                </c:pt>
                <c:pt idx="56">
                  <c:v>1.7338162752165802</c:v>
                </c:pt>
                <c:pt idx="57">
                  <c:v>1.7468000700931836</c:v>
                </c:pt>
                <c:pt idx="58">
                  <c:v>1.7560971812083825</c:v>
                </c:pt>
                <c:pt idx="59">
                  <c:v>1.7627544240183499</c:v>
                </c:pt>
              </c:numCache>
            </c:numRef>
          </c:val>
          <c:smooth val="0"/>
          <c:extLst>
            <c:ext xmlns:c16="http://schemas.microsoft.com/office/drawing/2014/chart" uri="{C3380CC4-5D6E-409C-BE32-E72D297353CC}">
              <c16:uniqueId val="{00000001-DC16-4743-89B0-A638716324D5}"/>
            </c:ext>
          </c:extLst>
        </c:ser>
        <c:ser>
          <c:idx val="2"/>
          <c:order val="2"/>
          <c:tx>
            <c:strRef>
              <c:f>'8. Forecast interval'!$E$1</c:f>
              <c:strCache>
                <c:ptCount val="1"/>
                <c:pt idx="0">
                  <c:v>CI-</c:v>
                </c:pt>
              </c:strCache>
            </c:strRef>
          </c:tx>
          <c:spPr>
            <a:ln w="28575" cap="rnd">
              <a:solidFill>
                <a:schemeClr val="bg2">
                  <a:lumMod val="50000"/>
                </a:schemeClr>
              </a:solidFill>
              <a:round/>
            </a:ln>
            <a:effectLst/>
          </c:spPr>
          <c:marker>
            <c:symbol val="none"/>
          </c:marker>
          <c:val>
            <c:numRef>
              <c:f>'8. Forecast interval'!$E$2:$E$61</c:f>
              <c:numCache>
                <c:formatCode>0.00</c:formatCode>
                <c:ptCount val="60"/>
                <c:pt idx="50">
                  <c:v>-6.7922558987679356</c:v>
                </c:pt>
                <c:pt idx="51">
                  <c:v>-6.9939365083041167</c:v>
                </c:pt>
                <c:pt idx="52">
                  <c:v>-7.0737939288909892</c:v>
                </c:pt>
                <c:pt idx="53">
                  <c:v>-7.099735153557762</c:v>
                </c:pt>
                <c:pt idx="54">
                  <c:v>-7.1027444000133872</c:v>
                </c:pt>
                <c:pt idx="55">
                  <c:v>-7.0970323096660799</c:v>
                </c:pt>
                <c:pt idx="56">
                  <c:v>-7.0889380137926432</c:v>
                </c:pt>
                <c:pt idx="57">
                  <c:v>-7.081096676654008</c:v>
                </c:pt>
                <c:pt idx="58">
                  <c:v>-7.0744351209220895</c:v>
                </c:pt>
                <c:pt idx="59">
                  <c:v>-7.0691289139289193</c:v>
                </c:pt>
              </c:numCache>
            </c:numRef>
          </c:val>
          <c:smooth val="0"/>
          <c:extLst>
            <c:ext xmlns:c16="http://schemas.microsoft.com/office/drawing/2014/chart" uri="{C3380CC4-5D6E-409C-BE32-E72D297353CC}">
              <c16:uniqueId val="{00000002-DC16-4743-89B0-A638716324D5}"/>
            </c:ext>
          </c:extLst>
        </c:ser>
        <c:ser>
          <c:idx val="3"/>
          <c:order val="3"/>
          <c:tx>
            <c:strRef>
              <c:f>'8. Forecast interval'!$F$1</c:f>
              <c:strCache>
                <c:ptCount val="1"/>
                <c:pt idx="0">
                  <c:v>CI+</c:v>
                </c:pt>
              </c:strCache>
            </c:strRef>
          </c:tx>
          <c:spPr>
            <a:ln w="28575" cap="rnd">
              <a:solidFill>
                <a:schemeClr val="bg2">
                  <a:lumMod val="50000"/>
                </a:schemeClr>
              </a:solidFill>
              <a:round/>
            </a:ln>
            <a:effectLst/>
          </c:spPr>
          <c:marker>
            <c:symbol val="none"/>
          </c:marker>
          <c:val>
            <c:numRef>
              <c:f>'8. Forecast interval'!$F$2:$F$61</c:f>
              <c:numCache>
                <c:formatCode>0.00</c:formatCode>
                <c:ptCount val="60"/>
                <c:pt idx="50">
                  <c:v>9.6728893021424494</c:v>
                </c:pt>
                <c:pt idx="51">
                  <c:v>10.06721297990223</c:v>
                </c:pt>
                <c:pt idx="52">
                  <c:v>10.285013430848824</c:v>
                </c:pt>
                <c:pt idx="53">
                  <c:v>10.409729450790017</c:v>
                </c:pt>
                <c:pt idx="54">
                  <c:v>10.483466882323656</c:v>
                </c:pt>
                <c:pt idx="55">
                  <c:v>10.528400061860545</c:v>
                </c:pt>
                <c:pt idx="56">
                  <c:v>10.556570564225805</c:v>
                </c:pt>
                <c:pt idx="57">
                  <c:v>10.574696816840374</c:v>
                </c:pt>
                <c:pt idx="58">
                  <c:v>10.586629483338854</c:v>
                </c:pt>
                <c:pt idx="59">
                  <c:v>10.59463776196562</c:v>
                </c:pt>
              </c:numCache>
            </c:numRef>
          </c:val>
          <c:smooth val="0"/>
          <c:extLst>
            <c:ext xmlns:c16="http://schemas.microsoft.com/office/drawing/2014/chart" uri="{C3380CC4-5D6E-409C-BE32-E72D297353CC}">
              <c16:uniqueId val="{00000003-DC16-4743-89B0-A638716324D5}"/>
            </c:ext>
          </c:extLst>
        </c:ser>
        <c:dLbls>
          <c:showLegendKey val="0"/>
          <c:showVal val="0"/>
          <c:showCatName val="0"/>
          <c:showSerName val="0"/>
          <c:showPercent val="0"/>
          <c:showBubbleSize val="0"/>
        </c:dLbls>
        <c:smooth val="0"/>
        <c:axId val="611842064"/>
        <c:axId val="611839768"/>
      </c:lineChart>
      <c:catAx>
        <c:axId val="61184206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1839768"/>
        <c:crosses val="autoZero"/>
        <c:auto val="1"/>
        <c:lblAlgn val="ctr"/>
        <c:lblOffset val="100"/>
        <c:noMultiLvlLbl val="0"/>
      </c:catAx>
      <c:valAx>
        <c:axId val="61183976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18420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ACF Differenced y</a:t>
            </a:r>
            <a:r>
              <a:rPr lang="en-US" baseline="-25000"/>
              <a:t>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 Autocorr'!$T$1</c:f>
              <c:strCache>
                <c:ptCount val="1"/>
                <c:pt idx="0">
                  <c:v>ACF Diff yt</c:v>
                </c:pt>
              </c:strCache>
            </c:strRef>
          </c:tx>
          <c:spPr>
            <a:solidFill>
              <a:schemeClr val="accent1"/>
            </a:solidFill>
            <a:ln>
              <a:noFill/>
            </a:ln>
            <a:effectLst/>
          </c:spPr>
          <c:invertIfNegative val="0"/>
          <c:val>
            <c:numRef>
              <c:f>'1. Autocorr'!$T$3:$T$22</c:f>
              <c:numCache>
                <c:formatCode>0.000</c:formatCode>
                <c:ptCount val="20"/>
                <c:pt idx="1">
                  <c:v>-0.14775995664735794</c:v>
                </c:pt>
                <c:pt idx="2">
                  <c:v>-0.20736815845039902</c:v>
                </c:pt>
                <c:pt idx="3">
                  <c:v>0.19019261541793583</c:v>
                </c:pt>
                <c:pt idx="4">
                  <c:v>-0.21219808837982135</c:v>
                </c:pt>
                <c:pt idx="5">
                  <c:v>-0.11172781109599152</c:v>
                </c:pt>
                <c:pt idx="6">
                  <c:v>0.24486771824525294</c:v>
                </c:pt>
                <c:pt idx="7">
                  <c:v>-0.24717810932101456</c:v>
                </c:pt>
                <c:pt idx="8">
                  <c:v>4.7059199572631501E-2</c:v>
                </c:pt>
                <c:pt idx="9">
                  <c:v>6.467977371630633E-2</c:v>
                </c:pt>
                <c:pt idx="10">
                  <c:v>-0.20466285631481446</c:v>
                </c:pt>
                <c:pt idx="11">
                  <c:v>1.1682551443435385E-2</c:v>
                </c:pt>
                <c:pt idx="12">
                  <c:v>0.14597368325436191</c:v>
                </c:pt>
                <c:pt idx="13">
                  <c:v>-0.10285272346124281</c:v>
                </c:pt>
                <c:pt idx="14">
                  <c:v>-1.0360626390901852E-2</c:v>
                </c:pt>
                <c:pt idx="15">
                  <c:v>-1.1296492353172063E-2</c:v>
                </c:pt>
                <c:pt idx="16">
                  <c:v>-2.1194584259988214E-2</c:v>
                </c:pt>
                <c:pt idx="17">
                  <c:v>5.9117195598321709E-2</c:v>
                </c:pt>
                <c:pt idx="18">
                  <c:v>0.17107451331661525</c:v>
                </c:pt>
                <c:pt idx="19">
                  <c:v>-0.15555016171783487</c:v>
                </c:pt>
              </c:numCache>
            </c:numRef>
          </c:val>
          <c:extLst>
            <c:ext xmlns:c16="http://schemas.microsoft.com/office/drawing/2014/chart" uri="{C3380CC4-5D6E-409C-BE32-E72D297353CC}">
              <c16:uniqueId val="{00000000-3FCE-4AF7-A16A-B2C18CCD4CF9}"/>
            </c:ext>
          </c:extLst>
        </c:ser>
        <c:dLbls>
          <c:showLegendKey val="0"/>
          <c:showVal val="0"/>
          <c:showCatName val="0"/>
          <c:showSerName val="0"/>
          <c:showPercent val="0"/>
          <c:showBubbleSize val="0"/>
        </c:dLbls>
        <c:gapWidth val="150"/>
        <c:axId val="702885304"/>
        <c:axId val="702887928"/>
      </c:barChart>
      <c:lineChart>
        <c:grouping val="standard"/>
        <c:varyColors val="0"/>
        <c:ser>
          <c:idx val="2"/>
          <c:order val="1"/>
          <c:tx>
            <c:strRef>
              <c:f>'1. Autocorr'!$V$1</c:f>
              <c:strCache>
                <c:ptCount val="1"/>
                <c:pt idx="0">
                  <c:v>+CI</c:v>
                </c:pt>
              </c:strCache>
            </c:strRef>
          </c:tx>
          <c:spPr>
            <a:ln w="28575" cap="rnd">
              <a:solidFill>
                <a:schemeClr val="accent2"/>
              </a:solidFill>
              <a:round/>
            </a:ln>
            <a:effectLst/>
          </c:spPr>
          <c:marker>
            <c:symbol val="none"/>
          </c:marker>
          <c:val>
            <c:numRef>
              <c:f>'1. Autocorr'!$V$3:$V$22</c:f>
              <c:numCache>
                <c:formatCode>0.000</c:formatCode>
                <c:ptCount val="20"/>
                <c:pt idx="1">
                  <c:v>0.28604792457003719</c:v>
                </c:pt>
                <c:pt idx="2">
                  <c:v>0.29760050181919739</c:v>
                </c:pt>
                <c:pt idx="3">
                  <c:v>0.30698211885627807</c:v>
                </c:pt>
                <c:pt idx="4">
                  <c:v>0.31827412115900899</c:v>
                </c:pt>
                <c:pt idx="5">
                  <c:v>0.32133435370504104</c:v>
                </c:pt>
                <c:pt idx="6">
                  <c:v>0.33564494058903172</c:v>
                </c:pt>
                <c:pt idx="7">
                  <c:v>0.34962485398307769</c:v>
                </c:pt>
                <c:pt idx="8">
                  <c:v>0.35012109737424985</c:v>
                </c:pt>
                <c:pt idx="9">
                  <c:v>0.35105662137754673</c:v>
                </c:pt>
                <c:pt idx="10">
                  <c:v>0.36028962647097201</c:v>
                </c:pt>
                <c:pt idx="11">
                  <c:v>0.36031932410222289</c:v>
                </c:pt>
                <c:pt idx="12">
                  <c:v>0.36492623816613801</c:v>
                </c:pt>
                <c:pt idx="13">
                  <c:v>0.36719190725439083</c:v>
                </c:pt>
                <c:pt idx="14">
                  <c:v>0.36721482550346135</c:v>
                </c:pt>
                <c:pt idx="15">
                  <c:v>0.36724206925880493</c:v>
                </c:pt>
                <c:pt idx="16">
                  <c:v>0.36733795560017374</c:v>
                </c:pt>
                <c:pt idx="17">
                  <c:v>0.36808309520809501</c:v>
                </c:pt>
                <c:pt idx="18">
                  <c:v>0.37426481329384065</c:v>
                </c:pt>
                <c:pt idx="19">
                  <c:v>0.37929943341712369</c:v>
                </c:pt>
              </c:numCache>
            </c:numRef>
          </c:val>
          <c:smooth val="0"/>
          <c:extLst>
            <c:ext xmlns:c16="http://schemas.microsoft.com/office/drawing/2014/chart" uri="{C3380CC4-5D6E-409C-BE32-E72D297353CC}">
              <c16:uniqueId val="{00000001-3FCE-4AF7-A16A-B2C18CCD4CF9}"/>
            </c:ext>
          </c:extLst>
        </c:ser>
        <c:ser>
          <c:idx val="1"/>
          <c:order val="2"/>
          <c:tx>
            <c:strRef>
              <c:f>'1. Autocorr'!$U$1</c:f>
              <c:strCache>
                <c:ptCount val="1"/>
                <c:pt idx="0">
                  <c:v>-CI</c:v>
                </c:pt>
              </c:strCache>
            </c:strRef>
          </c:tx>
          <c:spPr>
            <a:ln w="28575" cap="rnd">
              <a:solidFill>
                <a:schemeClr val="accent2"/>
              </a:solidFill>
              <a:round/>
            </a:ln>
            <a:effectLst/>
          </c:spPr>
          <c:marker>
            <c:symbol val="none"/>
          </c:marker>
          <c:val>
            <c:numRef>
              <c:f>'1. Autocorr'!$U$3:$U$22</c:f>
              <c:numCache>
                <c:formatCode>0.000</c:formatCode>
                <c:ptCount val="20"/>
                <c:pt idx="1">
                  <c:v>-0.28604792457003719</c:v>
                </c:pt>
                <c:pt idx="2">
                  <c:v>-0.29760050181919739</c:v>
                </c:pt>
                <c:pt idx="3">
                  <c:v>-0.30698211885627807</c:v>
                </c:pt>
                <c:pt idx="4">
                  <c:v>-0.31827412115900899</c:v>
                </c:pt>
                <c:pt idx="5">
                  <c:v>-0.32133435370504104</c:v>
                </c:pt>
                <c:pt idx="6">
                  <c:v>-0.33564494058903172</c:v>
                </c:pt>
                <c:pt idx="7">
                  <c:v>-0.34962485398307769</c:v>
                </c:pt>
                <c:pt idx="8">
                  <c:v>-0.35012109737424985</c:v>
                </c:pt>
                <c:pt idx="9">
                  <c:v>-0.35105662137754673</c:v>
                </c:pt>
                <c:pt idx="10">
                  <c:v>-0.36028962647097201</c:v>
                </c:pt>
                <c:pt idx="11">
                  <c:v>-0.36031932410222289</c:v>
                </c:pt>
                <c:pt idx="12">
                  <c:v>-0.36492623816613801</c:v>
                </c:pt>
                <c:pt idx="13">
                  <c:v>-0.36719190725439083</c:v>
                </c:pt>
                <c:pt idx="14">
                  <c:v>-0.36721482550346135</c:v>
                </c:pt>
                <c:pt idx="15">
                  <c:v>-0.36724206925880493</c:v>
                </c:pt>
                <c:pt idx="16">
                  <c:v>-0.36733795560017374</c:v>
                </c:pt>
                <c:pt idx="17">
                  <c:v>-0.36808309520809501</c:v>
                </c:pt>
                <c:pt idx="18">
                  <c:v>-0.37426481329384065</c:v>
                </c:pt>
                <c:pt idx="19">
                  <c:v>-0.37929943341712369</c:v>
                </c:pt>
              </c:numCache>
            </c:numRef>
          </c:val>
          <c:smooth val="0"/>
          <c:extLst>
            <c:ext xmlns:c16="http://schemas.microsoft.com/office/drawing/2014/chart" uri="{C3380CC4-5D6E-409C-BE32-E72D297353CC}">
              <c16:uniqueId val="{00000002-3FCE-4AF7-A16A-B2C18CCD4CF9}"/>
            </c:ext>
          </c:extLst>
        </c:ser>
        <c:dLbls>
          <c:showLegendKey val="0"/>
          <c:showVal val="0"/>
          <c:showCatName val="0"/>
          <c:showSerName val="0"/>
          <c:showPercent val="0"/>
          <c:showBubbleSize val="0"/>
        </c:dLbls>
        <c:marker val="1"/>
        <c:smooth val="0"/>
        <c:axId val="702885304"/>
        <c:axId val="702887928"/>
      </c:lineChart>
      <c:catAx>
        <c:axId val="70288530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2887928"/>
        <c:crosses val="autoZero"/>
        <c:auto val="1"/>
        <c:lblAlgn val="ctr"/>
        <c:lblOffset val="100"/>
        <c:noMultiLvlLbl val="0"/>
      </c:catAx>
      <c:valAx>
        <c:axId val="702887928"/>
        <c:scaling>
          <c:orientation val="minMax"/>
          <c:max val="1"/>
          <c:min val="-1"/>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288530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PACF Data Set y</a:t>
            </a:r>
            <a:r>
              <a:rPr lang="en-US" baseline="-25000"/>
              <a:t>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174458059928868"/>
          <c:y val="0.25549019607843138"/>
          <c:w val="0.638944885331721"/>
          <c:h val="0.68568627450980391"/>
        </c:manualLayout>
      </c:layout>
      <c:barChart>
        <c:barDir val="col"/>
        <c:grouping val="clustered"/>
        <c:varyColors val="0"/>
        <c:ser>
          <c:idx val="0"/>
          <c:order val="0"/>
          <c:tx>
            <c:strRef>
              <c:f>'1. Autocorr'!$J$1</c:f>
              <c:strCache>
                <c:ptCount val="1"/>
                <c:pt idx="0">
                  <c:v>PACF yt</c:v>
                </c:pt>
              </c:strCache>
            </c:strRef>
          </c:tx>
          <c:spPr>
            <a:solidFill>
              <a:schemeClr val="accent1"/>
            </a:solidFill>
            <a:ln>
              <a:noFill/>
            </a:ln>
            <a:effectLst/>
          </c:spPr>
          <c:invertIfNegative val="0"/>
          <c:val>
            <c:numRef>
              <c:f>'1. Autocorr'!$J$3:$J$22</c:f>
              <c:numCache>
                <c:formatCode>0.000</c:formatCode>
                <c:ptCount val="20"/>
                <c:pt idx="0">
                  <c:v>0.70808340042279849</c:v>
                </c:pt>
                <c:pt idx="1">
                  <c:v>9.5675869983917663E-3</c:v>
                </c:pt>
                <c:pt idx="2">
                  <c:v>0.12207668194649815</c:v>
                </c:pt>
                <c:pt idx="3">
                  <c:v>-0.25498510757379067</c:v>
                </c:pt>
                <c:pt idx="4">
                  <c:v>0.11775232620835639</c:v>
                </c:pt>
                <c:pt idx="5">
                  <c:v>4.5342608281006509E-2</c:v>
                </c:pt>
                <c:pt idx="6">
                  <c:v>-0.18429625643271699</c:v>
                </c:pt>
                <c:pt idx="7">
                  <c:v>0.15120379611590021</c:v>
                </c:pt>
                <c:pt idx="8">
                  <c:v>-0.16056467700472077</c:v>
                </c:pt>
                <c:pt idx="9">
                  <c:v>6.1712181103150306E-2</c:v>
                </c:pt>
                <c:pt idx="10">
                  <c:v>5.7630126988092459E-2</c:v>
                </c:pt>
                <c:pt idx="11">
                  <c:v>4.9158830755738896E-2</c:v>
                </c:pt>
                <c:pt idx="12">
                  <c:v>-4.7960665210238222E-2</c:v>
                </c:pt>
                <c:pt idx="13">
                  <c:v>-5.372183300272431E-2</c:v>
                </c:pt>
                <c:pt idx="14">
                  <c:v>0.10442496575142324</c:v>
                </c:pt>
                <c:pt idx="15">
                  <c:v>6.6177400349948456E-2</c:v>
                </c:pt>
                <c:pt idx="16">
                  <c:v>-2.608068429162334E-3</c:v>
                </c:pt>
                <c:pt idx="17">
                  <c:v>2.1199531290187666E-2</c:v>
                </c:pt>
                <c:pt idx="18">
                  <c:v>-1.4498822102356673E-2</c:v>
                </c:pt>
                <c:pt idx="19">
                  <c:v>-5.5157030994916596E-2</c:v>
                </c:pt>
              </c:numCache>
            </c:numRef>
          </c:val>
          <c:extLst>
            <c:ext xmlns:c16="http://schemas.microsoft.com/office/drawing/2014/chart" uri="{C3380CC4-5D6E-409C-BE32-E72D297353CC}">
              <c16:uniqueId val="{00000000-3738-45DA-9907-91B70FCC9728}"/>
            </c:ext>
          </c:extLst>
        </c:ser>
        <c:dLbls>
          <c:showLegendKey val="0"/>
          <c:showVal val="0"/>
          <c:showCatName val="0"/>
          <c:showSerName val="0"/>
          <c:showPercent val="0"/>
          <c:showBubbleSize val="0"/>
        </c:dLbls>
        <c:gapWidth val="150"/>
        <c:axId val="702885304"/>
        <c:axId val="702887928"/>
      </c:barChart>
      <c:lineChart>
        <c:grouping val="standard"/>
        <c:varyColors val="0"/>
        <c:ser>
          <c:idx val="2"/>
          <c:order val="1"/>
          <c:tx>
            <c:strRef>
              <c:f>'1. Autocorr'!$L$1</c:f>
              <c:strCache>
                <c:ptCount val="1"/>
                <c:pt idx="0">
                  <c:v>+CI</c:v>
                </c:pt>
              </c:strCache>
            </c:strRef>
          </c:tx>
          <c:spPr>
            <a:ln w="28575" cap="rnd">
              <a:solidFill>
                <a:schemeClr val="accent3"/>
              </a:solidFill>
              <a:round/>
            </a:ln>
            <a:effectLst/>
          </c:spPr>
          <c:marker>
            <c:symbol val="none"/>
          </c:marker>
          <c:val>
            <c:numRef>
              <c:f>'1. Autocorr'!$L$3:$L$22</c:f>
              <c:numCache>
                <c:formatCode>0.000</c:formatCode>
                <c:ptCount val="20"/>
                <c:pt idx="0">
                  <c:v>0.27718585822512665</c:v>
                </c:pt>
                <c:pt idx="1">
                  <c:v>0.27718585822512665</c:v>
                </c:pt>
                <c:pt idx="2">
                  <c:v>0.27718585822512665</c:v>
                </c:pt>
                <c:pt idx="3">
                  <c:v>0.27718585822512665</c:v>
                </c:pt>
                <c:pt idx="4">
                  <c:v>0.27718585822512665</c:v>
                </c:pt>
                <c:pt idx="5">
                  <c:v>0.27718585822512665</c:v>
                </c:pt>
                <c:pt idx="6">
                  <c:v>0.27718585822512665</c:v>
                </c:pt>
                <c:pt idx="7">
                  <c:v>0.27718585822512665</c:v>
                </c:pt>
                <c:pt idx="8">
                  <c:v>0.27718585822512665</c:v>
                </c:pt>
                <c:pt idx="9">
                  <c:v>0.27718585822512665</c:v>
                </c:pt>
                <c:pt idx="10">
                  <c:v>0.27718585822512665</c:v>
                </c:pt>
                <c:pt idx="11">
                  <c:v>0.27718585822512665</c:v>
                </c:pt>
                <c:pt idx="12">
                  <c:v>0.27718585822512665</c:v>
                </c:pt>
                <c:pt idx="13">
                  <c:v>0.27718585822512665</c:v>
                </c:pt>
                <c:pt idx="14">
                  <c:v>0.27718585822512665</c:v>
                </c:pt>
                <c:pt idx="15">
                  <c:v>0.27718585822512665</c:v>
                </c:pt>
                <c:pt idx="16">
                  <c:v>0.27718585822512665</c:v>
                </c:pt>
                <c:pt idx="17">
                  <c:v>0.27718585822512665</c:v>
                </c:pt>
                <c:pt idx="18">
                  <c:v>0.27718585822512665</c:v>
                </c:pt>
                <c:pt idx="19">
                  <c:v>0.27718585822512665</c:v>
                </c:pt>
              </c:numCache>
            </c:numRef>
          </c:val>
          <c:smooth val="0"/>
          <c:extLst>
            <c:ext xmlns:c16="http://schemas.microsoft.com/office/drawing/2014/chart" uri="{C3380CC4-5D6E-409C-BE32-E72D297353CC}">
              <c16:uniqueId val="{00000001-3738-45DA-9907-91B70FCC9728}"/>
            </c:ext>
          </c:extLst>
        </c:ser>
        <c:ser>
          <c:idx val="1"/>
          <c:order val="2"/>
          <c:tx>
            <c:strRef>
              <c:f>'1. Autocorr'!$K$1</c:f>
              <c:strCache>
                <c:ptCount val="1"/>
                <c:pt idx="0">
                  <c:v>-CI</c:v>
                </c:pt>
              </c:strCache>
            </c:strRef>
          </c:tx>
          <c:spPr>
            <a:ln w="28575" cap="rnd">
              <a:solidFill>
                <a:schemeClr val="accent2"/>
              </a:solidFill>
              <a:round/>
            </a:ln>
            <a:effectLst/>
          </c:spPr>
          <c:marker>
            <c:symbol val="none"/>
          </c:marker>
          <c:val>
            <c:numRef>
              <c:f>'1. Autocorr'!$K$3:$K$22</c:f>
              <c:numCache>
                <c:formatCode>0.000</c:formatCode>
                <c:ptCount val="20"/>
                <c:pt idx="0">
                  <c:v>-0.27718585822512665</c:v>
                </c:pt>
                <c:pt idx="1">
                  <c:v>-0.27718585822512665</c:v>
                </c:pt>
                <c:pt idx="2">
                  <c:v>-0.27718585822512665</c:v>
                </c:pt>
                <c:pt idx="3">
                  <c:v>-0.27718585822512665</c:v>
                </c:pt>
                <c:pt idx="4">
                  <c:v>-0.27718585822512665</c:v>
                </c:pt>
                <c:pt idx="5">
                  <c:v>-0.27718585822512665</c:v>
                </c:pt>
                <c:pt idx="6">
                  <c:v>-0.27718585822512665</c:v>
                </c:pt>
                <c:pt idx="7">
                  <c:v>-0.27718585822512665</c:v>
                </c:pt>
                <c:pt idx="8">
                  <c:v>-0.27718585822512665</c:v>
                </c:pt>
                <c:pt idx="9">
                  <c:v>-0.27718585822512665</c:v>
                </c:pt>
                <c:pt idx="10">
                  <c:v>-0.27718585822512665</c:v>
                </c:pt>
                <c:pt idx="11">
                  <c:v>-0.27718585822512665</c:v>
                </c:pt>
                <c:pt idx="12">
                  <c:v>-0.27718585822512665</c:v>
                </c:pt>
                <c:pt idx="13">
                  <c:v>-0.27718585822512665</c:v>
                </c:pt>
                <c:pt idx="14">
                  <c:v>-0.27718585822512665</c:v>
                </c:pt>
                <c:pt idx="15">
                  <c:v>-0.27718585822512665</c:v>
                </c:pt>
                <c:pt idx="16">
                  <c:v>-0.27718585822512665</c:v>
                </c:pt>
                <c:pt idx="17">
                  <c:v>-0.27718585822512665</c:v>
                </c:pt>
                <c:pt idx="18">
                  <c:v>-0.27718585822512665</c:v>
                </c:pt>
                <c:pt idx="19">
                  <c:v>-0.27718585822512665</c:v>
                </c:pt>
              </c:numCache>
            </c:numRef>
          </c:val>
          <c:smooth val="0"/>
          <c:extLst>
            <c:ext xmlns:c16="http://schemas.microsoft.com/office/drawing/2014/chart" uri="{C3380CC4-5D6E-409C-BE32-E72D297353CC}">
              <c16:uniqueId val="{00000002-3738-45DA-9907-91B70FCC9728}"/>
            </c:ext>
          </c:extLst>
        </c:ser>
        <c:dLbls>
          <c:showLegendKey val="0"/>
          <c:showVal val="0"/>
          <c:showCatName val="0"/>
          <c:showSerName val="0"/>
          <c:showPercent val="0"/>
          <c:showBubbleSize val="0"/>
        </c:dLbls>
        <c:marker val="1"/>
        <c:smooth val="0"/>
        <c:axId val="702885304"/>
        <c:axId val="702887928"/>
      </c:lineChart>
      <c:catAx>
        <c:axId val="70288530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2887928"/>
        <c:crosses val="autoZero"/>
        <c:auto val="1"/>
        <c:lblAlgn val="ctr"/>
        <c:lblOffset val="100"/>
        <c:noMultiLvlLbl val="0"/>
      </c:catAx>
      <c:valAx>
        <c:axId val="702887928"/>
        <c:scaling>
          <c:orientation val="minMax"/>
          <c:max val="1"/>
          <c:min val="-1"/>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288530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PACF Differenced y</a:t>
            </a:r>
            <a:r>
              <a:rPr lang="en-US" baseline="-25000"/>
              <a:t>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133615162073311"/>
          <c:y val="0.23588235294117649"/>
          <c:w val="0.51589898486400843"/>
          <c:h val="0.68568627450980391"/>
        </c:manualLayout>
      </c:layout>
      <c:barChart>
        <c:barDir val="col"/>
        <c:grouping val="clustered"/>
        <c:varyColors val="0"/>
        <c:ser>
          <c:idx val="0"/>
          <c:order val="0"/>
          <c:tx>
            <c:strRef>
              <c:f>'1. Autocorr'!$Z$1</c:f>
              <c:strCache>
                <c:ptCount val="1"/>
                <c:pt idx="0">
                  <c:v>PACF Diff yt</c:v>
                </c:pt>
              </c:strCache>
            </c:strRef>
          </c:tx>
          <c:spPr>
            <a:solidFill>
              <a:schemeClr val="accent1"/>
            </a:solidFill>
            <a:ln>
              <a:noFill/>
            </a:ln>
            <a:effectLst/>
          </c:spPr>
          <c:invertIfNegative val="0"/>
          <c:val>
            <c:numRef>
              <c:f>'1. Autocorr'!$Z$4:$Z$23</c:f>
              <c:numCache>
                <c:formatCode>0.000</c:formatCode>
                <c:ptCount val="20"/>
                <c:pt idx="0">
                  <c:v>-0.14775995664735794</c:v>
                </c:pt>
                <c:pt idx="1">
                  <c:v>-0.2343170075874963</c:v>
                </c:pt>
                <c:pt idx="2">
                  <c:v>0.12737104241324604</c:v>
                </c:pt>
                <c:pt idx="3">
                  <c:v>-0.22885905161243128</c:v>
                </c:pt>
                <c:pt idx="4">
                  <c:v>-0.11976605372778258</c:v>
                </c:pt>
                <c:pt idx="5">
                  <c:v>0.11234116596202119</c:v>
                </c:pt>
                <c:pt idx="6">
                  <c:v>-0.22695857926700613</c:v>
                </c:pt>
                <c:pt idx="7">
                  <c:v>6.1701367644729978E-2</c:v>
                </c:pt>
                <c:pt idx="8">
                  <c:v>-0.13208176922036657</c:v>
                </c:pt>
                <c:pt idx="9">
                  <c:v>-0.11252631430978571</c:v>
                </c:pt>
                <c:pt idx="10">
                  <c:v>-0.11311895824433384</c:v>
                </c:pt>
                <c:pt idx="11">
                  <c:v>3.6600657857219139E-3</c:v>
                </c:pt>
                <c:pt idx="12">
                  <c:v>-1.7231463230406509E-2</c:v>
                </c:pt>
                <c:pt idx="13">
                  <c:v>-0.14984868598341647</c:v>
                </c:pt>
                <c:pt idx="14">
                  <c:v>-0.10483463853500861</c:v>
                </c:pt>
                <c:pt idx="15">
                  <c:v>-3.8546459666535124E-2</c:v>
                </c:pt>
                <c:pt idx="16">
                  <c:v>-2.2925008978743205E-2</c:v>
                </c:pt>
                <c:pt idx="17">
                  <c:v>-2.3050699688338186E-3</c:v>
                </c:pt>
                <c:pt idx="18">
                  <c:v>-5.1369699112283007E-2</c:v>
                </c:pt>
                <c:pt idx="19">
                  <c:v>-5.1792374058407115E-2</c:v>
                </c:pt>
              </c:numCache>
            </c:numRef>
          </c:val>
          <c:extLst>
            <c:ext xmlns:c16="http://schemas.microsoft.com/office/drawing/2014/chart" uri="{C3380CC4-5D6E-409C-BE32-E72D297353CC}">
              <c16:uniqueId val="{00000000-98F4-4D73-9248-95A27CA3569B}"/>
            </c:ext>
          </c:extLst>
        </c:ser>
        <c:dLbls>
          <c:showLegendKey val="0"/>
          <c:showVal val="0"/>
          <c:showCatName val="0"/>
          <c:showSerName val="0"/>
          <c:showPercent val="0"/>
          <c:showBubbleSize val="0"/>
        </c:dLbls>
        <c:gapWidth val="150"/>
        <c:axId val="702885304"/>
        <c:axId val="702887928"/>
      </c:barChart>
      <c:lineChart>
        <c:grouping val="standard"/>
        <c:varyColors val="0"/>
        <c:ser>
          <c:idx val="1"/>
          <c:order val="1"/>
          <c:tx>
            <c:strRef>
              <c:f>'1. Autocorr'!$AB$1</c:f>
              <c:strCache>
                <c:ptCount val="1"/>
                <c:pt idx="0">
                  <c:v>+CI</c:v>
                </c:pt>
              </c:strCache>
            </c:strRef>
          </c:tx>
          <c:spPr>
            <a:ln w="28575" cap="rnd">
              <a:solidFill>
                <a:schemeClr val="accent2"/>
              </a:solidFill>
              <a:round/>
            </a:ln>
            <a:effectLst/>
          </c:spPr>
          <c:marker>
            <c:symbol val="none"/>
          </c:marker>
          <c:val>
            <c:numRef>
              <c:f>'1. Autocorr'!$AB$4:$AB$23</c:f>
              <c:numCache>
                <c:formatCode>0.000</c:formatCode>
                <c:ptCount val="20"/>
                <c:pt idx="0">
                  <c:v>0.27999999999999997</c:v>
                </c:pt>
                <c:pt idx="1">
                  <c:v>0.27999999999999997</c:v>
                </c:pt>
                <c:pt idx="2">
                  <c:v>0.27999999999999997</c:v>
                </c:pt>
                <c:pt idx="3">
                  <c:v>0.27999999999999997</c:v>
                </c:pt>
                <c:pt idx="4">
                  <c:v>0.27999999999999997</c:v>
                </c:pt>
                <c:pt idx="5">
                  <c:v>0.27999999999999997</c:v>
                </c:pt>
                <c:pt idx="6">
                  <c:v>0.27999999999999997</c:v>
                </c:pt>
                <c:pt idx="7">
                  <c:v>0.27999999999999997</c:v>
                </c:pt>
                <c:pt idx="8">
                  <c:v>0.27999999999999997</c:v>
                </c:pt>
                <c:pt idx="9">
                  <c:v>0.27999999999999997</c:v>
                </c:pt>
                <c:pt idx="10">
                  <c:v>0.27999999999999997</c:v>
                </c:pt>
                <c:pt idx="11">
                  <c:v>0.27999999999999997</c:v>
                </c:pt>
                <c:pt idx="12">
                  <c:v>0.27999999999999997</c:v>
                </c:pt>
                <c:pt idx="13">
                  <c:v>0.27999999999999997</c:v>
                </c:pt>
                <c:pt idx="14">
                  <c:v>0.27999999999999997</c:v>
                </c:pt>
                <c:pt idx="15">
                  <c:v>0.27999999999999997</c:v>
                </c:pt>
                <c:pt idx="16">
                  <c:v>0.27999999999999997</c:v>
                </c:pt>
                <c:pt idx="17">
                  <c:v>0.27999999999999997</c:v>
                </c:pt>
                <c:pt idx="18">
                  <c:v>0.27999999999999997</c:v>
                </c:pt>
                <c:pt idx="19">
                  <c:v>0.27999999999999997</c:v>
                </c:pt>
              </c:numCache>
            </c:numRef>
          </c:val>
          <c:smooth val="0"/>
          <c:extLst>
            <c:ext xmlns:c16="http://schemas.microsoft.com/office/drawing/2014/chart" uri="{C3380CC4-5D6E-409C-BE32-E72D297353CC}">
              <c16:uniqueId val="{00000001-98F4-4D73-9248-95A27CA3569B}"/>
            </c:ext>
          </c:extLst>
        </c:ser>
        <c:ser>
          <c:idx val="2"/>
          <c:order val="2"/>
          <c:tx>
            <c:strRef>
              <c:f>'1. Autocorr'!$AA$1</c:f>
              <c:strCache>
                <c:ptCount val="1"/>
                <c:pt idx="0">
                  <c:v>-CI</c:v>
                </c:pt>
              </c:strCache>
            </c:strRef>
          </c:tx>
          <c:spPr>
            <a:ln w="28575" cap="rnd">
              <a:solidFill>
                <a:schemeClr val="accent2"/>
              </a:solidFill>
              <a:round/>
            </a:ln>
            <a:effectLst/>
          </c:spPr>
          <c:marker>
            <c:symbol val="none"/>
          </c:marker>
          <c:val>
            <c:numRef>
              <c:f>'1. Autocorr'!$AA$4:$AA$23</c:f>
              <c:numCache>
                <c:formatCode>0.000</c:formatCode>
                <c:ptCount val="20"/>
                <c:pt idx="0">
                  <c:v>-0.27999999999999997</c:v>
                </c:pt>
                <c:pt idx="1">
                  <c:v>-0.27999999999999997</c:v>
                </c:pt>
                <c:pt idx="2">
                  <c:v>-0.27999999999999997</c:v>
                </c:pt>
                <c:pt idx="3">
                  <c:v>-0.27999999999999997</c:v>
                </c:pt>
                <c:pt idx="4">
                  <c:v>-0.27999999999999997</c:v>
                </c:pt>
                <c:pt idx="5">
                  <c:v>-0.27999999999999997</c:v>
                </c:pt>
                <c:pt idx="6">
                  <c:v>-0.27999999999999997</c:v>
                </c:pt>
                <c:pt idx="7">
                  <c:v>-0.27999999999999997</c:v>
                </c:pt>
                <c:pt idx="8">
                  <c:v>-0.27999999999999997</c:v>
                </c:pt>
                <c:pt idx="9">
                  <c:v>-0.27999999999999997</c:v>
                </c:pt>
                <c:pt idx="10">
                  <c:v>-0.27999999999999997</c:v>
                </c:pt>
                <c:pt idx="11">
                  <c:v>-0.27999999999999997</c:v>
                </c:pt>
                <c:pt idx="12">
                  <c:v>-0.27999999999999997</c:v>
                </c:pt>
                <c:pt idx="13">
                  <c:v>-0.27999999999999997</c:v>
                </c:pt>
                <c:pt idx="14">
                  <c:v>-0.27999999999999997</c:v>
                </c:pt>
                <c:pt idx="15">
                  <c:v>-0.27999999999999997</c:v>
                </c:pt>
                <c:pt idx="16">
                  <c:v>-0.27999999999999997</c:v>
                </c:pt>
                <c:pt idx="17">
                  <c:v>-0.27999999999999997</c:v>
                </c:pt>
                <c:pt idx="18">
                  <c:v>-0.27999999999999997</c:v>
                </c:pt>
                <c:pt idx="19">
                  <c:v>-0.27999999999999997</c:v>
                </c:pt>
              </c:numCache>
            </c:numRef>
          </c:val>
          <c:smooth val="0"/>
          <c:extLst>
            <c:ext xmlns:c16="http://schemas.microsoft.com/office/drawing/2014/chart" uri="{C3380CC4-5D6E-409C-BE32-E72D297353CC}">
              <c16:uniqueId val="{00000002-98F4-4D73-9248-95A27CA3569B}"/>
            </c:ext>
          </c:extLst>
        </c:ser>
        <c:dLbls>
          <c:showLegendKey val="0"/>
          <c:showVal val="0"/>
          <c:showCatName val="0"/>
          <c:showSerName val="0"/>
          <c:showPercent val="0"/>
          <c:showBubbleSize val="0"/>
        </c:dLbls>
        <c:marker val="1"/>
        <c:smooth val="0"/>
        <c:axId val="702885304"/>
        <c:axId val="702887928"/>
      </c:lineChart>
      <c:catAx>
        <c:axId val="70288530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2887928"/>
        <c:crosses val="autoZero"/>
        <c:auto val="1"/>
        <c:lblAlgn val="ctr"/>
        <c:lblOffset val="100"/>
        <c:noMultiLvlLbl val="0"/>
      </c:catAx>
      <c:valAx>
        <c:axId val="702887928"/>
        <c:scaling>
          <c:orientation val="minMax"/>
          <c:max val="1"/>
          <c:min val="-1"/>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288530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'1. Autocorr'!$B$1</c:f>
              <c:strCache>
                <c:ptCount val="1"/>
                <c:pt idx="0">
                  <c:v>yt</c:v>
                </c:pt>
              </c:strCache>
            </c:strRef>
          </c:tx>
          <c:spPr>
            <a:ln w="28575" cap="rnd">
              <a:solidFill>
                <a:schemeClr val="accent1"/>
              </a:solidFill>
              <a:round/>
            </a:ln>
            <a:effectLst/>
          </c:spPr>
          <c:marker>
            <c:symbol val="none"/>
          </c:marker>
          <c:val>
            <c:numRef>
              <c:f>'1. Autocorr'!$B$2:$B$52</c:f>
              <c:numCache>
                <c:formatCode>0.00</c:formatCode>
                <c:ptCount val="51"/>
                <c:pt idx="1">
                  <c:v>1.2999999999999998</c:v>
                </c:pt>
                <c:pt idx="2">
                  <c:v>8.6</c:v>
                </c:pt>
                <c:pt idx="3">
                  <c:v>12.132</c:v>
                </c:pt>
                <c:pt idx="4">
                  <c:v>10.9696</c:v>
                </c:pt>
                <c:pt idx="5">
                  <c:v>7.8545599999999984</c:v>
                </c:pt>
                <c:pt idx="6">
                  <c:v>6.9285119999999987</c:v>
                </c:pt>
                <c:pt idx="7">
                  <c:v>3.8660799999999984</c:v>
                </c:pt>
                <c:pt idx="8">
                  <c:v>2.9443020799999982</c:v>
                </c:pt>
                <c:pt idx="9">
                  <c:v>-0.12313113600000225</c:v>
                </c:pt>
                <c:pt idx="10">
                  <c:v>4.9504067583999998</c:v>
                </c:pt>
                <c:pt idx="11">
                  <c:v>3.2800263884799983</c:v>
                </c:pt>
                <c:pt idx="12">
                  <c:v>-8.8043970560002904E-2</c:v>
                </c:pt>
                <c:pt idx="13">
                  <c:v>2.8647606013951963</c:v>
                </c:pt>
                <c:pt idx="14">
                  <c:v>3.345895516405756</c:v>
                </c:pt>
                <c:pt idx="15">
                  <c:v>1.8383547169013719</c:v>
                </c:pt>
                <c:pt idx="16">
                  <c:v>4.535340490896175</c:v>
                </c:pt>
                <c:pt idx="17">
                  <c:v>0.91413563801271902</c:v>
                </c:pt>
                <c:pt idx="18">
                  <c:v>1.7656540318667853</c:v>
                </c:pt>
                <c:pt idx="19">
                  <c:v>2.4062615234113913</c:v>
                </c:pt>
                <c:pt idx="20">
                  <c:v>4.962504573630425</c:v>
                </c:pt>
                <c:pt idx="21">
                  <c:v>1.2850018151585152</c:v>
                </c:pt>
                <c:pt idx="22">
                  <c:v>2.1140007203459419</c:v>
                </c:pt>
                <c:pt idx="23">
                  <c:v>2.7456002858513884</c:v>
                </c:pt>
                <c:pt idx="24">
                  <c:v>1.2982401134257575</c:v>
                </c:pt>
                <c:pt idx="25">
                  <c:v>1.9296045004381313E-2</c:v>
                </c:pt>
                <c:pt idx="26">
                  <c:v>0.8077184178553809</c:v>
                </c:pt>
                <c:pt idx="27">
                  <c:v>-0.57691263291639938</c:v>
                </c:pt>
                <c:pt idx="28">
                  <c:v>-1.8307650531899835</c:v>
                </c:pt>
                <c:pt idx="29">
                  <c:v>-3.0323060212853661</c:v>
                </c:pt>
                <c:pt idx="30">
                  <c:v>-6.2129224085178993</c:v>
                </c:pt>
                <c:pt idx="31">
                  <c:v>-1.1851689634086644</c:v>
                </c:pt>
                <c:pt idx="32">
                  <c:v>-2.8740675853640711</c:v>
                </c:pt>
                <c:pt idx="33">
                  <c:v>-6.2496270341458739</c:v>
                </c:pt>
                <c:pt idx="34">
                  <c:v>-1.2998508136584519</c:v>
                </c:pt>
                <c:pt idx="35">
                  <c:v>-1.0199403254634252</c:v>
                </c:pt>
                <c:pt idx="36">
                  <c:v>-2.6079761301853921</c:v>
                </c:pt>
                <c:pt idx="37">
                  <c:v>2.0568095479258304</c:v>
                </c:pt>
                <c:pt idx="38">
                  <c:v>2.2227238191703229</c:v>
                </c:pt>
                <c:pt idx="39">
                  <c:v>0.58908952766812117</c:v>
                </c:pt>
                <c:pt idx="40">
                  <c:v>5.2356358110672412</c:v>
                </c:pt>
                <c:pt idx="41">
                  <c:v>1.3942543244268895</c:v>
                </c:pt>
                <c:pt idx="42">
                  <c:v>2.1577017297707481</c:v>
                </c:pt>
                <c:pt idx="43">
                  <c:v>6.763080691908292</c:v>
                </c:pt>
                <c:pt idx="44">
                  <c:v>4.905232276763309</c:v>
                </c:pt>
                <c:pt idx="45">
                  <c:v>1.4620929107053158</c:v>
                </c:pt>
                <c:pt idx="46">
                  <c:v>-1.6151628357178818</c:v>
                </c:pt>
                <c:pt idx="47">
                  <c:v>-4.5460651342871614</c:v>
                </c:pt>
                <c:pt idx="48">
                  <c:v>-1.4184260537148732</c:v>
                </c:pt>
                <c:pt idx="49">
                  <c:v>1.1326295785140421</c:v>
                </c:pt>
                <c:pt idx="50">
                  <c:v>2.0099999999999998</c:v>
                </c:pt>
              </c:numCache>
            </c:numRef>
          </c:val>
          <c:smooth val="0"/>
          <c:extLst>
            <c:ext xmlns:c16="http://schemas.microsoft.com/office/drawing/2014/chart" uri="{C3380CC4-5D6E-409C-BE32-E72D297353CC}">
              <c16:uniqueId val="{00000000-2C1C-4589-A1A6-70DE7BACAA7A}"/>
            </c:ext>
          </c:extLst>
        </c:ser>
        <c:dLbls>
          <c:showLegendKey val="0"/>
          <c:showVal val="0"/>
          <c:showCatName val="0"/>
          <c:showSerName val="0"/>
          <c:showPercent val="0"/>
          <c:showBubbleSize val="0"/>
        </c:dLbls>
        <c:smooth val="0"/>
        <c:axId val="549083632"/>
        <c:axId val="549085928"/>
      </c:lineChart>
      <c:catAx>
        <c:axId val="54908363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9085928"/>
        <c:crosses val="autoZero"/>
        <c:auto val="1"/>
        <c:lblAlgn val="ctr"/>
        <c:lblOffset val="100"/>
        <c:noMultiLvlLbl val="0"/>
      </c:catAx>
      <c:valAx>
        <c:axId val="5490859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90836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'1. Autocorr'!$Q$1</c:f>
              <c:strCache>
                <c:ptCount val="1"/>
                <c:pt idx="0">
                  <c:v>Diff yt</c:v>
                </c:pt>
              </c:strCache>
            </c:strRef>
          </c:tx>
          <c:spPr>
            <a:ln w="28575" cap="rnd">
              <a:solidFill>
                <a:schemeClr val="accent1"/>
              </a:solidFill>
              <a:round/>
            </a:ln>
            <a:effectLst/>
          </c:spPr>
          <c:marker>
            <c:symbol val="none"/>
          </c:marker>
          <c:val>
            <c:numRef>
              <c:f>'1. Autocorr'!$Q$2:$Q$53</c:f>
              <c:numCache>
                <c:formatCode>0.00</c:formatCode>
                <c:ptCount val="52"/>
                <c:pt idx="2">
                  <c:v>7.3</c:v>
                </c:pt>
                <c:pt idx="3">
                  <c:v>3.532</c:v>
                </c:pt>
                <c:pt idx="4">
                  <c:v>-1.1623999999999999</c:v>
                </c:pt>
                <c:pt idx="5">
                  <c:v>-3.1150400000000014</c:v>
                </c:pt>
                <c:pt idx="6">
                  <c:v>-0.92604799999999976</c:v>
                </c:pt>
                <c:pt idx="7">
                  <c:v>-3.0624320000000003</c:v>
                </c:pt>
                <c:pt idx="8">
                  <c:v>-0.92177792000000025</c:v>
                </c:pt>
                <c:pt idx="9">
                  <c:v>-3.0674332160000004</c:v>
                </c:pt>
                <c:pt idx="10">
                  <c:v>5.073537894400002</c:v>
                </c:pt>
                <c:pt idx="11">
                  <c:v>-1.6703803699200015</c:v>
                </c:pt>
                <c:pt idx="12">
                  <c:v>-3.3680703590400012</c:v>
                </c:pt>
                <c:pt idx="13">
                  <c:v>2.9528045719551992</c:v>
                </c:pt>
                <c:pt idx="14">
                  <c:v>0.48113491501055972</c:v>
                </c:pt>
                <c:pt idx="15">
                  <c:v>-1.5075407995043841</c:v>
                </c:pt>
                <c:pt idx="16">
                  <c:v>2.6969857739948031</c:v>
                </c:pt>
                <c:pt idx="17">
                  <c:v>-3.6212048528834559</c:v>
                </c:pt>
                <c:pt idx="18">
                  <c:v>0.85151839385406625</c:v>
                </c:pt>
                <c:pt idx="19">
                  <c:v>0.64060749154460606</c:v>
                </c:pt>
                <c:pt idx="20">
                  <c:v>2.5562430502190336</c:v>
                </c:pt>
                <c:pt idx="21">
                  <c:v>-3.6775027584719098</c:v>
                </c:pt>
                <c:pt idx="22">
                  <c:v>0.82899890518742669</c:v>
                </c:pt>
                <c:pt idx="23">
                  <c:v>0.63159956550544649</c:v>
                </c:pt>
                <c:pt idx="24">
                  <c:v>-1.4473601724256309</c:v>
                </c:pt>
                <c:pt idx="25">
                  <c:v>-1.2789440684213762</c:v>
                </c:pt>
                <c:pt idx="26">
                  <c:v>0.78842237285099959</c:v>
                </c:pt>
                <c:pt idx="27">
                  <c:v>-1.3846310507717803</c:v>
                </c:pt>
                <c:pt idx="28">
                  <c:v>-1.2538524202735841</c:v>
                </c:pt>
                <c:pt idx="29">
                  <c:v>-1.2015409680953826</c:v>
                </c:pt>
                <c:pt idx="30">
                  <c:v>-3.1806163872325333</c:v>
                </c:pt>
                <c:pt idx="31">
                  <c:v>5.0277534451092354</c:v>
                </c:pt>
                <c:pt idx="32">
                  <c:v>-1.6888986219554067</c:v>
                </c:pt>
                <c:pt idx="33">
                  <c:v>-3.3755594487818028</c:v>
                </c:pt>
                <c:pt idx="34">
                  <c:v>4.9497762204874221</c:v>
                </c:pt>
                <c:pt idx="35">
                  <c:v>0.27991048819502673</c:v>
                </c:pt>
                <c:pt idx="36">
                  <c:v>-1.5880358047219669</c:v>
                </c:pt>
                <c:pt idx="37">
                  <c:v>4.6647856781112225</c:v>
                </c:pt>
                <c:pt idx="38">
                  <c:v>0.16591427124449254</c:v>
                </c:pt>
                <c:pt idx="39">
                  <c:v>-1.6336342915022017</c:v>
                </c:pt>
                <c:pt idx="40">
                  <c:v>4.64654628339912</c:v>
                </c:pt>
                <c:pt idx="41">
                  <c:v>-3.8413814866403517</c:v>
                </c:pt>
                <c:pt idx="42">
                  <c:v>0.76344740534385869</c:v>
                </c:pt>
                <c:pt idx="43">
                  <c:v>4.6053789621375438</c:v>
                </c:pt>
                <c:pt idx="44">
                  <c:v>-1.857848415144983</c:v>
                </c:pt>
                <c:pt idx="45">
                  <c:v>-3.4431393660579932</c:v>
                </c:pt>
                <c:pt idx="46">
                  <c:v>-3.0772557464231975</c:v>
                </c:pt>
                <c:pt idx="47">
                  <c:v>-2.9309022985692796</c:v>
                </c:pt>
                <c:pt idx="48">
                  <c:v>3.1276390805722882</c:v>
                </c:pt>
                <c:pt idx="49">
                  <c:v>2.5510556322289153</c:v>
                </c:pt>
                <c:pt idx="50">
                  <c:v>0.87737042148595767</c:v>
                </c:pt>
                <c:pt idx="51">
                  <c:v>-2.0099999999999998</c:v>
                </c:pt>
              </c:numCache>
            </c:numRef>
          </c:val>
          <c:smooth val="0"/>
          <c:extLst>
            <c:ext xmlns:c16="http://schemas.microsoft.com/office/drawing/2014/chart" uri="{C3380CC4-5D6E-409C-BE32-E72D297353CC}">
              <c16:uniqueId val="{00000000-8349-4787-9A5B-7032446BB08A}"/>
            </c:ext>
          </c:extLst>
        </c:ser>
        <c:dLbls>
          <c:showLegendKey val="0"/>
          <c:showVal val="0"/>
          <c:showCatName val="0"/>
          <c:showSerName val="0"/>
          <c:showPercent val="0"/>
          <c:showBubbleSize val="0"/>
        </c:dLbls>
        <c:smooth val="0"/>
        <c:axId val="545831656"/>
        <c:axId val="555407576"/>
      </c:lineChart>
      <c:catAx>
        <c:axId val="54583165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5407576"/>
        <c:crosses val="autoZero"/>
        <c:auto val="1"/>
        <c:lblAlgn val="ctr"/>
        <c:lblOffset val="100"/>
        <c:noMultiLvlLbl val="0"/>
      </c:catAx>
      <c:valAx>
        <c:axId val="5554075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58316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y</a:t>
            </a:r>
            <a:r>
              <a:rPr lang="en-US" baseline="-25000"/>
              <a:t>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'5. Model'!$K$1</c:f>
              <c:strCache>
                <c:ptCount val="1"/>
                <c:pt idx="0">
                  <c:v>yt</c:v>
                </c:pt>
              </c:strCache>
            </c:strRef>
          </c:tx>
          <c:spPr>
            <a:ln w="28575" cap="rnd">
              <a:solidFill>
                <a:schemeClr val="accent1"/>
              </a:solidFill>
              <a:round/>
            </a:ln>
            <a:effectLst/>
          </c:spPr>
          <c:marker>
            <c:symbol val="none"/>
          </c:marker>
          <c:val>
            <c:numRef>
              <c:f>'5. Model'!$K$2:$K$52</c:f>
              <c:numCache>
                <c:formatCode>0.00</c:formatCode>
                <c:ptCount val="51"/>
                <c:pt idx="1">
                  <c:v>1.2999999999999998</c:v>
                </c:pt>
                <c:pt idx="2">
                  <c:v>8.6</c:v>
                </c:pt>
                <c:pt idx="3">
                  <c:v>12.132</c:v>
                </c:pt>
                <c:pt idx="4">
                  <c:v>10.9696</c:v>
                </c:pt>
                <c:pt idx="5">
                  <c:v>7.8545599999999984</c:v>
                </c:pt>
                <c:pt idx="6">
                  <c:v>6.9285119999999987</c:v>
                </c:pt>
                <c:pt idx="7">
                  <c:v>3.8660799999999984</c:v>
                </c:pt>
                <c:pt idx="8">
                  <c:v>2.9443020799999982</c:v>
                </c:pt>
                <c:pt idx="9">
                  <c:v>-0.12313113600000225</c:v>
                </c:pt>
                <c:pt idx="10">
                  <c:v>4.9504067583999998</c:v>
                </c:pt>
                <c:pt idx="11">
                  <c:v>3.2800263884799983</c:v>
                </c:pt>
                <c:pt idx="12">
                  <c:v>-8.8043970560002904E-2</c:v>
                </c:pt>
                <c:pt idx="13">
                  <c:v>2.8647606013951963</c:v>
                </c:pt>
                <c:pt idx="14">
                  <c:v>3.345895516405756</c:v>
                </c:pt>
                <c:pt idx="15">
                  <c:v>1.8383547169013719</c:v>
                </c:pt>
                <c:pt idx="16">
                  <c:v>4.535340490896175</c:v>
                </c:pt>
                <c:pt idx="17">
                  <c:v>0.91413563801271902</c:v>
                </c:pt>
                <c:pt idx="18">
                  <c:v>1.7656540318667853</c:v>
                </c:pt>
                <c:pt idx="19">
                  <c:v>2.4062615234113913</c:v>
                </c:pt>
                <c:pt idx="20">
                  <c:v>4.962504573630425</c:v>
                </c:pt>
                <c:pt idx="21">
                  <c:v>1.2850018151585152</c:v>
                </c:pt>
                <c:pt idx="22">
                  <c:v>2.1140007203459419</c:v>
                </c:pt>
                <c:pt idx="23">
                  <c:v>2.7456002858513884</c:v>
                </c:pt>
                <c:pt idx="24">
                  <c:v>1.2982401134257575</c:v>
                </c:pt>
                <c:pt idx="25">
                  <c:v>1.9296045004381313E-2</c:v>
                </c:pt>
                <c:pt idx="26">
                  <c:v>0.8077184178553809</c:v>
                </c:pt>
                <c:pt idx="27">
                  <c:v>-0.57691263291639938</c:v>
                </c:pt>
                <c:pt idx="28">
                  <c:v>-1.8307650531899835</c:v>
                </c:pt>
                <c:pt idx="29">
                  <c:v>-3.0323060212853661</c:v>
                </c:pt>
                <c:pt idx="30">
                  <c:v>-6.2129224085178993</c:v>
                </c:pt>
                <c:pt idx="31">
                  <c:v>-1.1851689634086644</c:v>
                </c:pt>
                <c:pt idx="32">
                  <c:v>-2.8740675853640711</c:v>
                </c:pt>
                <c:pt idx="33">
                  <c:v>-6.2496270341458739</c:v>
                </c:pt>
                <c:pt idx="34">
                  <c:v>-1.2998508136584519</c:v>
                </c:pt>
                <c:pt idx="35">
                  <c:v>-1.0199403254634252</c:v>
                </c:pt>
                <c:pt idx="36">
                  <c:v>-2.6079761301853921</c:v>
                </c:pt>
                <c:pt idx="37">
                  <c:v>2.0568095479258304</c:v>
                </c:pt>
                <c:pt idx="38">
                  <c:v>2.2227238191703229</c:v>
                </c:pt>
                <c:pt idx="39">
                  <c:v>0.58908952766812117</c:v>
                </c:pt>
                <c:pt idx="40">
                  <c:v>5.2356358110672412</c:v>
                </c:pt>
                <c:pt idx="41">
                  <c:v>1.3942543244268895</c:v>
                </c:pt>
                <c:pt idx="42">
                  <c:v>2.1577017297707481</c:v>
                </c:pt>
                <c:pt idx="43">
                  <c:v>6.763080691908292</c:v>
                </c:pt>
                <c:pt idx="44">
                  <c:v>4.905232276763309</c:v>
                </c:pt>
                <c:pt idx="45">
                  <c:v>1.4620929107053158</c:v>
                </c:pt>
                <c:pt idx="46">
                  <c:v>-1.6151628357178818</c:v>
                </c:pt>
                <c:pt idx="47">
                  <c:v>-4.5460651342871614</c:v>
                </c:pt>
                <c:pt idx="48">
                  <c:v>-1.4184260537148732</c:v>
                </c:pt>
                <c:pt idx="49">
                  <c:v>1.1326295785140421</c:v>
                </c:pt>
                <c:pt idx="50">
                  <c:v>2.0099999999999998</c:v>
                </c:pt>
              </c:numCache>
            </c:numRef>
          </c:val>
          <c:smooth val="0"/>
          <c:extLst>
            <c:ext xmlns:c16="http://schemas.microsoft.com/office/drawing/2014/chart" uri="{C3380CC4-5D6E-409C-BE32-E72D297353CC}">
              <c16:uniqueId val="{00000000-2239-426F-9A3A-02013F715124}"/>
            </c:ext>
          </c:extLst>
        </c:ser>
        <c:dLbls>
          <c:showLegendKey val="0"/>
          <c:showVal val="0"/>
          <c:showCatName val="0"/>
          <c:showSerName val="0"/>
          <c:showPercent val="0"/>
          <c:showBubbleSize val="0"/>
        </c:dLbls>
        <c:smooth val="0"/>
        <c:axId val="540788176"/>
        <c:axId val="540794080"/>
      </c:lineChart>
      <c:catAx>
        <c:axId val="54078817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794080"/>
        <c:crosses val="autoZero"/>
        <c:auto val="1"/>
        <c:lblAlgn val="ctr"/>
        <c:lblOffset val="100"/>
        <c:noMultiLvlLbl val="0"/>
      </c:catAx>
      <c:valAx>
        <c:axId val="5407940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7881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z</a:t>
            </a:r>
            <a:r>
              <a:rPr lang="en-US" baseline="-25000"/>
              <a:t>t</a:t>
            </a:r>
            <a:r>
              <a:rPr lang="en-US"/>
              <a:t>=y</a:t>
            </a:r>
            <a:r>
              <a:rPr lang="en-US" baseline="-25000"/>
              <a:t>t</a:t>
            </a:r>
            <a:r>
              <a:rPr lang="en-US"/>
              <a:t>-</a:t>
            </a:r>
            <a:r>
              <a:rPr lang="en-US">
                <a:latin typeface="Symbol" panose="05050102010706020507" pitchFamily="18" charset="2"/>
              </a:rPr>
              <a:t>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'5. Model'!$L$1</c:f>
              <c:strCache>
                <c:ptCount val="1"/>
                <c:pt idx="0">
                  <c:v>zt=yt-m</c:v>
                </c:pt>
              </c:strCache>
            </c:strRef>
          </c:tx>
          <c:spPr>
            <a:ln w="28575" cap="rnd">
              <a:solidFill>
                <a:schemeClr val="accent1"/>
              </a:solidFill>
              <a:round/>
            </a:ln>
            <a:effectLst/>
          </c:spPr>
          <c:marker>
            <c:symbol val="none"/>
          </c:marker>
          <c:val>
            <c:numRef>
              <c:f>'5. Model'!$L$2:$L$52</c:f>
              <c:numCache>
                <c:formatCode>0.00</c:formatCode>
                <c:ptCount val="51"/>
                <c:pt idx="1">
                  <c:v>-0.47954271673091786</c:v>
                </c:pt>
                <c:pt idx="2">
                  <c:v>6.8204572832690822</c:v>
                </c:pt>
                <c:pt idx="3">
                  <c:v>10.352457283269082</c:v>
                </c:pt>
                <c:pt idx="4">
                  <c:v>9.1900572832690823</c:v>
                </c:pt>
                <c:pt idx="5">
                  <c:v>6.075017283269081</c:v>
                </c:pt>
                <c:pt idx="6">
                  <c:v>5.1489692832690812</c:v>
                </c:pt>
                <c:pt idx="7">
                  <c:v>2.0865372832690809</c:v>
                </c:pt>
                <c:pt idx="8">
                  <c:v>1.1647593632690805</c:v>
                </c:pt>
                <c:pt idx="9">
                  <c:v>-1.9026738527309199</c:v>
                </c:pt>
                <c:pt idx="10">
                  <c:v>3.1708640416690823</c:v>
                </c:pt>
                <c:pt idx="11">
                  <c:v>1.5004836717490806</c:v>
                </c:pt>
                <c:pt idx="12">
                  <c:v>-1.8675866872909206</c:v>
                </c:pt>
                <c:pt idx="13">
                  <c:v>1.0852178846642786</c:v>
                </c:pt>
                <c:pt idx="14">
                  <c:v>1.5663527996748383</c:v>
                </c:pt>
                <c:pt idx="15">
                  <c:v>5.8812000170454182E-2</c:v>
                </c:pt>
                <c:pt idx="16">
                  <c:v>2.7557977741652575</c:v>
                </c:pt>
                <c:pt idx="17">
                  <c:v>-0.86540707871819866</c:v>
                </c:pt>
                <c:pt idx="18">
                  <c:v>-1.3888684864132417E-2</c:v>
                </c:pt>
                <c:pt idx="19">
                  <c:v>0.62671880668047364</c:v>
                </c:pt>
                <c:pt idx="20">
                  <c:v>3.1829618568995075</c:v>
                </c:pt>
                <c:pt idx="21">
                  <c:v>-0.49454090157240249</c:v>
                </c:pt>
                <c:pt idx="22">
                  <c:v>0.3344580036150242</c:v>
                </c:pt>
                <c:pt idx="23">
                  <c:v>0.96605756912047069</c:v>
                </c:pt>
                <c:pt idx="24">
                  <c:v>-0.48130260330516017</c:v>
                </c:pt>
                <c:pt idx="25">
                  <c:v>-1.7602466717265364</c:v>
                </c:pt>
                <c:pt idx="26">
                  <c:v>-0.97182429887553679</c:v>
                </c:pt>
                <c:pt idx="27">
                  <c:v>-2.3564553496473168</c:v>
                </c:pt>
                <c:pt idx="28">
                  <c:v>-3.610307769920901</c:v>
                </c:pt>
                <c:pt idx="29">
                  <c:v>-4.811848738016284</c:v>
                </c:pt>
                <c:pt idx="30">
                  <c:v>-7.9924651252488168</c:v>
                </c:pt>
                <c:pt idx="31">
                  <c:v>-2.9647116801395823</c:v>
                </c:pt>
                <c:pt idx="32">
                  <c:v>-4.6536103020949886</c:v>
                </c:pt>
                <c:pt idx="33">
                  <c:v>-8.0291697508767914</c:v>
                </c:pt>
                <c:pt idx="34">
                  <c:v>-3.0793935303893694</c:v>
                </c:pt>
                <c:pt idx="35">
                  <c:v>-2.7994830421943426</c:v>
                </c:pt>
                <c:pt idx="36">
                  <c:v>-4.3875188469163096</c:v>
                </c:pt>
                <c:pt idx="37">
                  <c:v>0.27726683119491269</c:v>
                </c:pt>
                <c:pt idx="38">
                  <c:v>0.44318110243940523</c:v>
                </c:pt>
                <c:pt idx="39">
                  <c:v>-1.1904531890627965</c:v>
                </c:pt>
                <c:pt idx="40">
                  <c:v>3.4560930943363237</c:v>
                </c:pt>
                <c:pt idx="41">
                  <c:v>-0.38528839230402823</c:v>
                </c:pt>
                <c:pt idx="42">
                  <c:v>0.37815901303983046</c:v>
                </c:pt>
                <c:pt idx="43">
                  <c:v>4.9835379751773745</c:v>
                </c:pt>
                <c:pt idx="44">
                  <c:v>3.1256895600323915</c:v>
                </c:pt>
                <c:pt idx="45">
                  <c:v>-0.31744980602560191</c:v>
                </c:pt>
                <c:pt idx="46">
                  <c:v>-3.3947055524487997</c:v>
                </c:pt>
                <c:pt idx="47">
                  <c:v>-6.3256078510180789</c:v>
                </c:pt>
                <c:pt idx="48">
                  <c:v>-3.1979687704457911</c:v>
                </c:pt>
                <c:pt idx="49">
                  <c:v>-0.64691313821687557</c:v>
                </c:pt>
                <c:pt idx="50">
                  <c:v>0.2304572832690821</c:v>
                </c:pt>
              </c:numCache>
            </c:numRef>
          </c:val>
          <c:smooth val="0"/>
          <c:extLst>
            <c:ext xmlns:c16="http://schemas.microsoft.com/office/drawing/2014/chart" uri="{C3380CC4-5D6E-409C-BE32-E72D297353CC}">
              <c16:uniqueId val="{00000000-99DC-4857-8E36-5405267C334A}"/>
            </c:ext>
          </c:extLst>
        </c:ser>
        <c:dLbls>
          <c:showLegendKey val="0"/>
          <c:showVal val="0"/>
          <c:showCatName val="0"/>
          <c:showSerName val="0"/>
          <c:showPercent val="0"/>
          <c:showBubbleSize val="0"/>
        </c:dLbls>
        <c:smooth val="0"/>
        <c:axId val="540787520"/>
        <c:axId val="540789816"/>
      </c:lineChart>
      <c:catAx>
        <c:axId val="54078752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789816"/>
        <c:crosses val="autoZero"/>
        <c:auto val="1"/>
        <c:lblAlgn val="ctr"/>
        <c:lblOffset val="100"/>
        <c:noMultiLvlLbl val="0"/>
      </c:catAx>
      <c:valAx>
        <c:axId val="5407898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7875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Model Fit</a:t>
            </a:r>
            <a:endParaRPr lang="en-US" baseline="-250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'5. Model'!$K$1</c:f>
              <c:strCache>
                <c:ptCount val="1"/>
                <c:pt idx="0">
                  <c:v>yt</c:v>
                </c:pt>
              </c:strCache>
            </c:strRef>
          </c:tx>
          <c:spPr>
            <a:ln w="28575" cap="rnd">
              <a:solidFill>
                <a:schemeClr val="accent1"/>
              </a:solidFill>
              <a:round/>
            </a:ln>
            <a:effectLst/>
          </c:spPr>
          <c:marker>
            <c:symbol val="none"/>
          </c:marker>
          <c:val>
            <c:numRef>
              <c:f>'5. Model'!$K$2:$K$52</c:f>
              <c:numCache>
                <c:formatCode>0.00</c:formatCode>
                <c:ptCount val="51"/>
                <c:pt idx="1">
                  <c:v>1.2999999999999998</c:v>
                </c:pt>
                <c:pt idx="2">
                  <c:v>8.6</c:v>
                </c:pt>
                <c:pt idx="3">
                  <c:v>12.132</c:v>
                </c:pt>
                <c:pt idx="4">
                  <c:v>10.9696</c:v>
                </c:pt>
                <c:pt idx="5">
                  <c:v>7.8545599999999984</c:v>
                </c:pt>
                <c:pt idx="6">
                  <c:v>6.9285119999999987</c:v>
                </c:pt>
                <c:pt idx="7">
                  <c:v>3.8660799999999984</c:v>
                </c:pt>
                <c:pt idx="8">
                  <c:v>2.9443020799999982</c:v>
                </c:pt>
                <c:pt idx="9">
                  <c:v>-0.12313113600000225</c:v>
                </c:pt>
                <c:pt idx="10">
                  <c:v>4.9504067583999998</c:v>
                </c:pt>
                <c:pt idx="11">
                  <c:v>3.2800263884799983</c:v>
                </c:pt>
                <c:pt idx="12">
                  <c:v>-8.8043970560002904E-2</c:v>
                </c:pt>
                <c:pt idx="13">
                  <c:v>2.8647606013951963</c:v>
                </c:pt>
                <c:pt idx="14">
                  <c:v>3.345895516405756</c:v>
                </c:pt>
                <c:pt idx="15">
                  <c:v>1.8383547169013719</c:v>
                </c:pt>
                <c:pt idx="16">
                  <c:v>4.535340490896175</c:v>
                </c:pt>
                <c:pt idx="17">
                  <c:v>0.91413563801271902</c:v>
                </c:pt>
                <c:pt idx="18">
                  <c:v>1.7656540318667853</c:v>
                </c:pt>
                <c:pt idx="19">
                  <c:v>2.4062615234113913</c:v>
                </c:pt>
                <c:pt idx="20">
                  <c:v>4.962504573630425</c:v>
                </c:pt>
                <c:pt idx="21">
                  <c:v>1.2850018151585152</c:v>
                </c:pt>
                <c:pt idx="22">
                  <c:v>2.1140007203459419</c:v>
                </c:pt>
                <c:pt idx="23">
                  <c:v>2.7456002858513884</c:v>
                </c:pt>
                <c:pt idx="24">
                  <c:v>1.2982401134257575</c:v>
                </c:pt>
                <c:pt idx="25">
                  <c:v>1.9296045004381313E-2</c:v>
                </c:pt>
                <c:pt idx="26">
                  <c:v>0.8077184178553809</c:v>
                </c:pt>
                <c:pt idx="27">
                  <c:v>-0.57691263291639938</c:v>
                </c:pt>
                <c:pt idx="28">
                  <c:v>-1.8307650531899835</c:v>
                </c:pt>
                <c:pt idx="29">
                  <c:v>-3.0323060212853661</c:v>
                </c:pt>
                <c:pt idx="30">
                  <c:v>-6.2129224085178993</c:v>
                </c:pt>
                <c:pt idx="31">
                  <c:v>-1.1851689634086644</c:v>
                </c:pt>
                <c:pt idx="32">
                  <c:v>-2.8740675853640711</c:v>
                </c:pt>
                <c:pt idx="33">
                  <c:v>-6.2496270341458739</c:v>
                </c:pt>
                <c:pt idx="34">
                  <c:v>-1.2998508136584519</c:v>
                </c:pt>
                <c:pt idx="35">
                  <c:v>-1.0199403254634252</c:v>
                </c:pt>
                <c:pt idx="36">
                  <c:v>-2.6079761301853921</c:v>
                </c:pt>
                <c:pt idx="37">
                  <c:v>2.0568095479258304</c:v>
                </c:pt>
                <c:pt idx="38">
                  <c:v>2.2227238191703229</c:v>
                </c:pt>
                <c:pt idx="39">
                  <c:v>0.58908952766812117</c:v>
                </c:pt>
                <c:pt idx="40">
                  <c:v>5.2356358110672412</c:v>
                </c:pt>
                <c:pt idx="41">
                  <c:v>1.3942543244268895</c:v>
                </c:pt>
                <c:pt idx="42">
                  <c:v>2.1577017297707481</c:v>
                </c:pt>
                <c:pt idx="43">
                  <c:v>6.763080691908292</c:v>
                </c:pt>
                <c:pt idx="44">
                  <c:v>4.905232276763309</c:v>
                </c:pt>
                <c:pt idx="45">
                  <c:v>1.4620929107053158</c:v>
                </c:pt>
                <c:pt idx="46">
                  <c:v>-1.6151628357178818</c:v>
                </c:pt>
                <c:pt idx="47">
                  <c:v>-4.5460651342871614</c:v>
                </c:pt>
                <c:pt idx="48">
                  <c:v>-1.4184260537148732</c:v>
                </c:pt>
                <c:pt idx="49">
                  <c:v>1.1326295785140421</c:v>
                </c:pt>
                <c:pt idx="50">
                  <c:v>2.0099999999999998</c:v>
                </c:pt>
              </c:numCache>
            </c:numRef>
          </c:val>
          <c:smooth val="0"/>
          <c:extLst>
            <c:ext xmlns:c16="http://schemas.microsoft.com/office/drawing/2014/chart" uri="{C3380CC4-5D6E-409C-BE32-E72D297353CC}">
              <c16:uniqueId val="{00000000-BD71-4E78-8CD5-40D7D96F231E}"/>
            </c:ext>
          </c:extLst>
        </c:ser>
        <c:ser>
          <c:idx val="1"/>
          <c:order val="1"/>
          <c:tx>
            <c:strRef>
              <c:f>'5. Model'!$O$1</c:f>
              <c:strCache>
                <c:ptCount val="1"/>
                <c:pt idx="0">
                  <c:v>ẑt</c:v>
                </c:pt>
              </c:strCache>
            </c:strRef>
          </c:tx>
          <c:spPr>
            <a:ln w="28575" cap="rnd">
              <a:solidFill>
                <a:schemeClr val="accent2"/>
              </a:solidFill>
              <a:round/>
            </a:ln>
            <a:effectLst/>
          </c:spPr>
          <c:marker>
            <c:symbol val="none"/>
          </c:marker>
          <c:val>
            <c:numRef>
              <c:f>'5. Model'!$O$2:$O$52</c:f>
              <c:numCache>
                <c:formatCode>0.00</c:formatCode>
                <c:ptCount val="51"/>
                <c:pt idx="1">
                  <c:v>0</c:v>
                </c:pt>
                <c:pt idx="2">
                  <c:v>1.4361637613250777</c:v>
                </c:pt>
                <c:pt idx="3">
                  <c:v>6.6177375754583254</c:v>
                </c:pt>
                <c:pt idx="4">
                  <c:v>9.1573502001051938</c:v>
                </c:pt>
                <c:pt idx="5">
                  <c:v>8.3485865881144434</c:v>
                </c:pt>
                <c:pt idx="6">
                  <c:v>6.1327356930644692</c:v>
                </c:pt>
                <c:pt idx="7">
                  <c:v>5.4614194410154555</c:v>
                </c:pt>
                <c:pt idx="8">
                  <c:v>3.2837791223119805</c:v>
                </c:pt>
                <c:pt idx="9">
                  <c:v>2.6157366547902625</c:v>
                </c:pt>
                <c:pt idx="10">
                  <c:v>0.43456789521017586</c:v>
                </c:pt>
                <c:pt idx="11">
                  <c:v>4.0212936396146013</c:v>
                </c:pt>
                <c:pt idx="12">
                  <c:v>2.858692787179939</c:v>
                </c:pt>
                <c:pt idx="13">
                  <c:v>0.46101618572251379</c:v>
                </c:pt>
                <c:pt idx="14">
                  <c:v>2.5413085671397955</c:v>
                </c:pt>
                <c:pt idx="15">
                  <c:v>2.8960129130066177</c:v>
                </c:pt>
                <c:pt idx="16">
                  <c:v>1.8283917366723497</c:v>
                </c:pt>
                <c:pt idx="17">
                  <c:v>3.7356044770243257</c:v>
                </c:pt>
                <c:pt idx="18">
                  <c:v>1.1778340443256698</c:v>
                </c:pt>
                <c:pt idx="19">
                  <c:v>1.7658537353782313</c:v>
                </c:pt>
                <c:pt idx="20">
                  <c:v>2.2242289864725433</c:v>
                </c:pt>
                <c:pt idx="21">
                  <c:v>4.0412779245736647</c:v>
                </c:pt>
                <c:pt idx="22">
                  <c:v>1.4429793983348185</c:v>
                </c:pt>
                <c:pt idx="23">
                  <c:v>2.014759197470831</c:v>
                </c:pt>
                <c:pt idx="24">
                  <c:v>2.4666382166279841</c:v>
                </c:pt>
                <c:pt idx="25">
                  <c:v>1.4423452996165675</c:v>
                </c:pt>
                <c:pt idx="26">
                  <c:v>0.52817293082755479</c:v>
                </c:pt>
                <c:pt idx="27">
                  <c:v>1.0818826079794368</c:v>
                </c:pt>
                <c:pt idx="28">
                  <c:v>0.10275623549001239</c:v>
                </c:pt>
                <c:pt idx="29">
                  <c:v>-0.79332127320987111</c:v>
                </c:pt>
                <c:pt idx="30">
                  <c:v>-1.6517451340480334</c:v>
                </c:pt>
                <c:pt idx="31">
                  <c:v>-3.914450956001942</c:v>
                </c:pt>
                <c:pt idx="32">
                  <c:v>-0.36073710908759604</c:v>
                </c:pt>
                <c:pt idx="33">
                  <c:v>-1.5366903606442972</c:v>
                </c:pt>
                <c:pt idx="34">
                  <c:v>-3.9397669065371148</c:v>
                </c:pt>
                <c:pt idx="35">
                  <c:v>-0.44228643459528705</c:v>
                </c:pt>
                <c:pt idx="36">
                  <c:v>-0.22136191630461144</c:v>
                </c:pt>
                <c:pt idx="37">
                  <c:v>-1.3469613223554293</c:v>
                </c:pt>
                <c:pt idx="38">
                  <c:v>1.9564018553630111</c:v>
                </c:pt>
                <c:pt idx="39">
                  <c:v>2.095188509705264</c:v>
                </c:pt>
                <c:pt idx="40">
                  <c:v>0.93670535452212211</c:v>
                </c:pt>
                <c:pt idx="41">
                  <c:v>4.2269148504070371</c:v>
                </c:pt>
                <c:pt idx="42">
                  <c:v>1.5216967073366516</c:v>
                </c:pt>
                <c:pt idx="43">
                  <c:v>2.0462745477496274</c:v>
                </c:pt>
                <c:pt idx="44">
                  <c:v>5.3179878629354738</c:v>
                </c:pt>
                <c:pt idx="45">
                  <c:v>4.0203372306620437</c:v>
                </c:pt>
                <c:pt idx="46">
                  <c:v>1.5685250650002045</c:v>
                </c:pt>
                <c:pt idx="47">
                  <c:v>-0.63097571892768534</c:v>
                </c:pt>
                <c:pt idx="48">
                  <c:v>-2.7250045231843685</c:v>
                </c:pt>
                <c:pt idx="49">
                  <c:v>-0.51870058700659283</c:v>
                </c:pt>
                <c:pt idx="50">
                  <c:v>1.3057997506030827</c:v>
                </c:pt>
              </c:numCache>
            </c:numRef>
          </c:val>
          <c:smooth val="0"/>
          <c:extLst>
            <c:ext xmlns:c16="http://schemas.microsoft.com/office/drawing/2014/chart" uri="{C3380CC4-5D6E-409C-BE32-E72D297353CC}">
              <c16:uniqueId val="{00000001-BD71-4E78-8CD5-40D7D96F231E}"/>
            </c:ext>
          </c:extLst>
        </c:ser>
        <c:dLbls>
          <c:showLegendKey val="0"/>
          <c:showVal val="0"/>
          <c:showCatName val="0"/>
          <c:showSerName val="0"/>
          <c:showPercent val="0"/>
          <c:showBubbleSize val="0"/>
        </c:dLbls>
        <c:smooth val="0"/>
        <c:axId val="540788176"/>
        <c:axId val="540794080"/>
      </c:lineChart>
      <c:catAx>
        <c:axId val="54078817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794080"/>
        <c:crosses val="autoZero"/>
        <c:auto val="1"/>
        <c:lblAlgn val="ctr"/>
        <c:lblOffset val="100"/>
        <c:noMultiLvlLbl val="0"/>
      </c:catAx>
      <c:valAx>
        <c:axId val="5407940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7881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15.xml"/></Relationships>
</file>

<file path=xl/drawings/drawing1.xml><?xml version="1.0" encoding="utf-8"?>
<xdr:wsDr xmlns:xdr="http://schemas.openxmlformats.org/drawingml/2006/spreadsheetDrawing" xmlns:a="http://schemas.openxmlformats.org/drawingml/2006/main">
  <xdr:twoCellAnchor>
    <xdr:from>
      <xdr:col>3</xdr:col>
      <xdr:colOff>224791</xdr:colOff>
      <xdr:row>22</xdr:row>
      <xdr:rowOff>139065</xdr:rowOff>
    </xdr:from>
    <xdr:to>
      <xdr:col>8</xdr:col>
      <xdr:colOff>114300</xdr:colOff>
      <xdr:row>33</xdr:row>
      <xdr:rowOff>72390</xdr:rowOff>
    </xdr:to>
    <xdr:graphicFrame macro="">
      <xdr:nvGraphicFramePr>
        <xdr:cNvPr id="2" name="Chart 1">
          <a:extLst>
            <a:ext uri="{FF2B5EF4-FFF2-40B4-BE49-F238E27FC236}">
              <a16:creationId xmlns:a16="http://schemas.microsoft.com/office/drawing/2014/main" id="{6643DA20-BCA2-4398-BC8D-8350EE993B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32384</xdr:colOff>
      <xdr:row>24</xdr:row>
      <xdr:rowOff>5715</xdr:rowOff>
    </xdr:from>
    <xdr:to>
      <xdr:col>24</xdr:col>
      <xdr:colOff>352425</xdr:colOff>
      <xdr:row>34</xdr:row>
      <xdr:rowOff>120015</xdr:rowOff>
    </xdr:to>
    <xdr:graphicFrame macro="">
      <xdr:nvGraphicFramePr>
        <xdr:cNvPr id="3" name="Chart 2">
          <a:extLst>
            <a:ext uri="{FF2B5EF4-FFF2-40B4-BE49-F238E27FC236}">
              <a16:creationId xmlns:a16="http://schemas.microsoft.com/office/drawing/2014/main" id="{6C8D00AC-1AE3-4B93-AC57-101080904C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28576</xdr:colOff>
      <xdr:row>22</xdr:row>
      <xdr:rowOff>161925</xdr:rowOff>
    </xdr:from>
    <xdr:to>
      <xdr:col>14</xdr:col>
      <xdr:colOff>514350</xdr:colOff>
      <xdr:row>33</xdr:row>
      <xdr:rowOff>38100</xdr:rowOff>
    </xdr:to>
    <xdr:graphicFrame macro="">
      <xdr:nvGraphicFramePr>
        <xdr:cNvPr id="4" name="Chart 3">
          <a:extLst>
            <a:ext uri="{FF2B5EF4-FFF2-40B4-BE49-F238E27FC236}">
              <a16:creationId xmlns:a16="http://schemas.microsoft.com/office/drawing/2014/main" id="{10CA4797-C1BE-452D-8AAA-708D5A4935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xdr:col>
      <xdr:colOff>28576</xdr:colOff>
      <xdr:row>24</xdr:row>
      <xdr:rowOff>9525</xdr:rowOff>
    </xdr:from>
    <xdr:to>
      <xdr:col>29</xdr:col>
      <xdr:colOff>504825</xdr:colOff>
      <xdr:row>34</xdr:row>
      <xdr:rowOff>123825</xdr:rowOff>
    </xdr:to>
    <xdr:graphicFrame macro="">
      <xdr:nvGraphicFramePr>
        <xdr:cNvPr id="5" name="Chart 4">
          <a:extLst>
            <a:ext uri="{FF2B5EF4-FFF2-40B4-BE49-F238E27FC236}">
              <a16:creationId xmlns:a16="http://schemas.microsoft.com/office/drawing/2014/main" id="{27C43FB0-D650-438B-B661-BFBB667527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495300</xdr:colOff>
      <xdr:row>34</xdr:row>
      <xdr:rowOff>0</xdr:rowOff>
    </xdr:from>
    <xdr:to>
      <xdr:col>12</xdr:col>
      <xdr:colOff>361950</xdr:colOff>
      <xdr:row>49</xdr:row>
      <xdr:rowOff>28575</xdr:rowOff>
    </xdr:to>
    <xdr:graphicFrame macro="">
      <xdr:nvGraphicFramePr>
        <xdr:cNvPr id="6" name="Chart 5">
          <a:extLst>
            <a:ext uri="{FF2B5EF4-FFF2-40B4-BE49-F238E27FC236}">
              <a16:creationId xmlns:a16="http://schemas.microsoft.com/office/drawing/2014/main" id="{8DF6E17F-5407-48D2-9DAA-3756F5533FB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20</xdr:col>
      <xdr:colOff>142875</xdr:colOff>
      <xdr:row>35</xdr:row>
      <xdr:rowOff>114300</xdr:rowOff>
    </xdr:from>
    <xdr:to>
      <xdr:col>28</xdr:col>
      <xdr:colOff>152400</xdr:colOff>
      <xdr:row>50</xdr:row>
      <xdr:rowOff>142875</xdr:rowOff>
    </xdr:to>
    <xdr:graphicFrame macro="">
      <xdr:nvGraphicFramePr>
        <xdr:cNvPr id="7" name="Chart 6">
          <a:extLst>
            <a:ext uri="{FF2B5EF4-FFF2-40B4-BE49-F238E27FC236}">
              <a16:creationId xmlns:a16="http://schemas.microsoft.com/office/drawing/2014/main" id="{99DA6DF4-CBBA-49D3-BAA0-483D4EF92E5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117373</xdr:colOff>
      <xdr:row>7</xdr:row>
      <xdr:rowOff>57149</xdr:rowOff>
    </xdr:from>
    <xdr:to>
      <xdr:col>27</xdr:col>
      <xdr:colOff>142211</xdr:colOff>
      <xdr:row>27</xdr:row>
      <xdr:rowOff>219074</xdr:rowOff>
    </xdr:to>
    <xdr:pic>
      <xdr:nvPicPr>
        <xdr:cNvPr id="4" name="Picture 3">
          <a:extLst>
            <a:ext uri="{FF2B5EF4-FFF2-40B4-BE49-F238E27FC236}">
              <a16:creationId xmlns:a16="http://schemas.microsoft.com/office/drawing/2014/main" id="{68C9F424-21E7-4D08-AC9A-2D82A45EFD1B}"/>
            </a:ext>
          </a:extLst>
        </xdr:cNvPr>
        <xdr:cNvPicPr>
          <a:picLocks noChangeAspect="1"/>
        </xdr:cNvPicPr>
      </xdr:nvPicPr>
      <xdr:blipFill>
        <a:blip xmlns:r="http://schemas.openxmlformats.org/officeDocument/2006/relationships" r:embed="rId1"/>
        <a:stretch>
          <a:fillRect/>
        </a:stretch>
      </xdr:blipFill>
      <xdr:spPr>
        <a:xfrm>
          <a:off x="12976123" y="1600199"/>
          <a:ext cx="4901638" cy="4619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5</xdr:row>
      <xdr:rowOff>0</xdr:rowOff>
    </xdr:from>
    <xdr:to>
      <xdr:col>0</xdr:col>
      <xdr:colOff>152400</xdr:colOff>
      <xdr:row>5</xdr:row>
      <xdr:rowOff>7620</xdr:rowOff>
    </xdr:to>
    <xdr:pic>
      <xdr:nvPicPr>
        <xdr:cNvPr id="9" name="Picture 8">
          <a:extLst>
            <a:ext uri="{FF2B5EF4-FFF2-40B4-BE49-F238E27FC236}">
              <a16:creationId xmlns:a16="http://schemas.microsoft.com/office/drawing/2014/main" id="{471C02A7-3C00-499B-AFBD-49A52E1813BE}"/>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1280160"/>
          <a:ext cx="1524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13</xdr:row>
      <xdr:rowOff>0</xdr:rowOff>
    </xdr:from>
    <xdr:to>
      <xdr:col>0</xdr:col>
      <xdr:colOff>152400</xdr:colOff>
      <xdr:row>13</xdr:row>
      <xdr:rowOff>7620</xdr:rowOff>
    </xdr:to>
    <xdr:pic>
      <xdr:nvPicPr>
        <xdr:cNvPr id="16" name="Picture 15">
          <a:extLst>
            <a:ext uri="{FF2B5EF4-FFF2-40B4-BE49-F238E27FC236}">
              <a16:creationId xmlns:a16="http://schemas.microsoft.com/office/drawing/2014/main" id="{195243EA-7E09-4BD6-A471-371A5B25C9D8}"/>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1280160"/>
          <a:ext cx="1524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13</xdr:row>
      <xdr:rowOff>0</xdr:rowOff>
    </xdr:from>
    <xdr:to>
      <xdr:col>0</xdr:col>
      <xdr:colOff>152400</xdr:colOff>
      <xdr:row>13</xdr:row>
      <xdr:rowOff>7620</xdr:rowOff>
    </xdr:to>
    <xdr:pic>
      <xdr:nvPicPr>
        <xdr:cNvPr id="55" name="Picture 54">
          <a:extLst>
            <a:ext uri="{FF2B5EF4-FFF2-40B4-BE49-F238E27FC236}">
              <a16:creationId xmlns:a16="http://schemas.microsoft.com/office/drawing/2014/main" id="{900CB624-78F8-4713-908D-37C70B6FB62D}"/>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1120140"/>
          <a:ext cx="15240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7620</xdr:colOff>
      <xdr:row>6</xdr:row>
      <xdr:rowOff>45720</xdr:rowOff>
    </xdr:from>
    <xdr:to>
      <xdr:col>17</xdr:col>
      <xdr:colOff>434340</xdr:colOff>
      <xdr:row>25</xdr:row>
      <xdr:rowOff>89535</xdr:rowOff>
    </xdr:to>
    <xdr:pic>
      <xdr:nvPicPr>
        <xdr:cNvPr id="6" name="Picture 5">
          <a:extLst>
            <a:ext uri="{FF2B5EF4-FFF2-40B4-BE49-F238E27FC236}">
              <a16:creationId xmlns:a16="http://schemas.microsoft.com/office/drawing/2014/main" id="{2FD304C3-A6E3-448E-B8EE-351921144976}"/>
            </a:ext>
          </a:extLst>
        </xdr:cNvPr>
        <xdr:cNvPicPr/>
      </xdr:nvPicPr>
      <xdr:blipFill>
        <a:blip xmlns:r="http://schemas.openxmlformats.org/officeDocument/2006/relationships" r:embed="rId2"/>
        <a:stretch>
          <a:fillRect/>
        </a:stretch>
      </xdr:blipFill>
      <xdr:spPr>
        <a:xfrm>
          <a:off x="6469380" y="1234440"/>
          <a:ext cx="4084320" cy="38385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17</xdr:col>
      <xdr:colOff>30480</xdr:colOff>
      <xdr:row>1</xdr:row>
      <xdr:rowOff>76200</xdr:rowOff>
    </xdr:from>
    <xdr:to>
      <xdr:col>24</xdr:col>
      <xdr:colOff>335280</xdr:colOff>
      <xdr:row>15</xdr:row>
      <xdr:rowOff>137160</xdr:rowOff>
    </xdr:to>
    <xdr:graphicFrame macro="">
      <xdr:nvGraphicFramePr>
        <xdr:cNvPr id="2" name="Chart 1">
          <a:extLst>
            <a:ext uri="{FF2B5EF4-FFF2-40B4-BE49-F238E27FC236}">
              <a16:creationId xmlns:a16="http://schemas.microsoft.com/office/drawing/2014/main" id="{64A49325-FD42-4DE5-A806-C4428E61F48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0</xdr:colOff>
      <xdr:row>16</xdr:row>
      <xdr:rowOff>76200</xdr:rowOff>
    </xdr:from>
    <xdr:to>
      <xdr:col>24</xdr:col>
      <xdr:colOff>304800</xdr:colOff>
      <xdr:row>30</xdr:row>
      <xdr:rowOff>95250</xdr:rowOff>
    </xdr:to>
    <xdr:graphicFrame macro="">
      <xdr:nvGraphicFramePr>
        <xdr:cNvPr id="3" name="Chart 2">
          <a:extLst>
            <a:ext uri="{FF2B5EF4-FFF2-40B4-BE49-F238E27FC236}">
              <a16:creationId xmlns:a16="http://schemas.microsoft.com/office/drawing/2014/main" id="{B229A98C-7C06-475F-B555-6577FC0FEAA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0</xdr:colOff>
      <xdr:row>31</xdr:row>
      <xdr:rowOff>0</xdr:rowOff>
    </xdr:from>
    <xdr:to>
      <xdr:col>24</xdr:col>
      <xdr:colOff>304800</xdr:colOff>
      <xdr:row>46</xdr:row>
      <xdr:rowOff>32385</xdr:rowOff>
    </xdr:to>
    <xdr:graphicFrame macro="">
      <xdr:nvGraphicFramePr>
        <xdr:cNvPr id="5" name="Chart 4">
          <a:extLst>
            <a:ext uri="{FF2B5EF4-FFF2-40B4-BE49-F238E27FC236}">
              <a16:creationId xmlns:a16="http://schemas.microsoft.com/office/drawing/2014/main" id="{DAF94C62-20C9-4962-A66B-7ED5E1D3F1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167640</xdr:colOff>
      <xdr:row>22</xdr:row>
      <xdr:rowOff>152400</xdr:rowOff>
    </xdr:from>
    <xdr:to>
      <xdr:col>18</xdr:col>
      <xdr:colOff>91440</xdr:colOff>
      <xdr:row>34</xdr:row>
      <xdr:rowOff>167640</xdr:rowOff>
    </xdr:to>
    <xdr:graphicFrame macro="">
      <xdr:nvGraphicFramePr>
        <xdr:cNvPr id="4" name="Chart 3">
          <a:extLst>
            <a:ext uri="{FF2B5EF4-FFF2-40B4-BE49-F238E27FC236}">
              <a16:creationId xmlns:a16="http://schemas.microsoft.com/office/drawing/2014/main" id="{E67BA56C-EE31-4333-A662-B08EB172884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0</xdr:colOff>
      <xdr:row>23</xdr:row>
      <xdr:rowOff>0</xdr:rowOff>
    </xdr:from>
    <xdr:to>
      <xdr:col>25</xdr:col>
      <xdr:colOff>60960</xdr:colOff>
      <xdr:row>35</xdr:row>
      <xdr:rowOff>15240</xdr:rowOff>
    </xdr:to>
    <xdr:graphicFrame macro="">
      <xdr:nvGraphicFramePr>
        <xdr:cNvPr id="5" name="Chart 4">
          <a:extLst>
            <a:ext uri="{FF2B5EF4-FFF2-40B4-BE49-F238E27FC236}">
              <a16:creationId xmlns:a16="http://schemas.microsoft.com/office/drawing/2014/main" id="{2A73C79D-CA89-4484-8FAF-C43081F984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110066</xdr:colOff>
      <xdr:row>11</xdr:row>
      <xdr:rowOff>135466</xdr:rowOff>
    </xdr:from>
    <xdr:to>
      <xdr:col>8</xdr:col>
      <xdr:colOff>237067</xdr:colOff>
      <xdr:row>25</xdr:row>
      <xdr:rowOff>93133</xdr:rowOff>
    </xdr:to>
    <xdr:graphicFrame macro="">
      <xdr:nvGraphicFramePr>
        <xdr:cNvPr id="6" name="Chart 5">
          <a:extLst>
            <a:ext uri="{FF2B5EF4-FFF2-40B4-BE49-F238E27FC236}">
              <a16:creationId xmlns:a16="http://schemas.microsoft.com/office/drawing/2014/main" id="{41D9E7FF-EF44-4F85-85EA-3092EB49DE8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259080</xdr:colOff>
      <xdr:row>1</xdr:row>
      <xdr:rowOff>22860</xdr:rowOff>
    </xdr:from>
    <xdr:to>
      <xdr:col>11</xdr:col>
      <xdr:colOff>563880</xdr:colOff>
      <xdr:row>15</xdr:row>
      <xdr:rowOff>38100</xdr:rowOff>
    </xdr:to>
    <xdr:graphicFrame macro="">
      <xdr:nvGraphicFramePr>
        <xdr:cNvPr id="2" name="Chart 1">
          <a:extLst>
            <a:ext uri="{FF2B5EF4-FFF2-40B4-BE49-F238E27FC236}">
              <a16:creationId xmlns:a16="http://schemas.microsoft.com/office/drawing/2014/main" id="{71CCB7C6-3E54-4951-9019-9AC222B9B0C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274320</xdr:colOff>
      <xdr:row>16</xdr:row>
      <xdr:rowOff>7620</xdr:rowOff>
    </xdr:from>
    <xdr:to>
      <xdr:col>11</xdr:col>
      <xdr:colOff>563880</xdr:colOff>
      <xdr:row>30</xdr:row>
      <xdr:rowOff>129540</xdr:rowOff>
    </xdr:to>
    <xdr:graphicFrame macro="">
      <xdr:nvGraphicFramePr>
        <xdr:cNvPr id="3" name="Chart 2">
          <a:extLst>
            <a:ext uri="{FF2B5EF4-FFF2-40B4-BE49-F238E27FC236}">
              <a16:creationId xmlns:a16="http://schemas.microsoft.com/office/drawing/2014/main" id="{DA82EAAF-C99E-43FE-AFDA-4E6EA7FCE26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259080</xdr:colOff>
      <xdr:row>1</xdr:row>
      <xdr:rowOff>22860</xdr:rowOff>
    </xdr:from>
    <xdr:to>
      <xdr:col>11</xdr:col>
      <xdr:colOff>563880</xdr:colOff>
      <xdr:row>15</xdr:row>
      <xdr:rowOff>38100</xdr:rowOff>
    </xdr:to>
    <xdr:graphicFrame macro="">
      <xdr:nvGraphicFramePr>
        <xdr:cNvPr id="2" name="Chart 1">
          <a:extLst>
            <a:ext uri="{FF2B5EF4-FFF2-40B4-BE49-F238E27FC236}">
              <a16:creationId xmlns:a16="http://schemas.microsoft.com/office/drawing/2014/main" id="{01467E7F-4ACF-494B-9564-18D38C2EA2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29</xdr:col>
      <xdr:colOff>173566</xdr:colOff>
      <xdr:row>6</xdr:row>
      <xdr:rowOff>165100</xdr:rowOff>
    </xdr:from>
    <xdr:to>
      <xdr:col>29</xdr:col>
      <xdr:colOff>859366</xdr:colOff>
      <xdr:row>8</xdr:row>
      <xdr:rowOff>223520</xdr:rowOff>
    </xdr:to>
    <xdr:pic>
      <xdr:nvPicPr>
        <xdr:cNvPr id="3" name="Picture 2">
          <a:extLst>
            <a:ext uri="{FF2B5EF4-FFF2-40B4-BE49-F238E27FC236}">
              <a16:creationId xmlns:a16="http://schemas.microsoft.com/office/drawing/2014/main" id="{A4DB4683-9469-42AA-B6C0-0C9C2B8859CA}"/>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851966" y="1262380"/>
          <a:ext cx="434340" cy="386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6"/>
  <sheetViews>
    <sheetView workbookViewId="0">
      <selection activeCell="W1" sqref="W1"/>
    </sheetView>
  </sheetViews>
  <sheetFormatPr defaultRowHeight="15"/>
  <sheetData>
    <row r="1" spans="1:6" ht="23.25">
      <c r="A1" s="252" t="s">
        <v>232</v>
      </c>
    </row>
    <row r="3" spans="1:6" ht="18.75">
      <c r="A3" s="251" t="s">
        <v>219</v>
      </c>
      <c r="D3" s="157" t="s">
        <v>218</v>
      </c>
    </row>
    <row r="4" spans="1:6" ht="18.75">
      <c r="A4" s="251"/>
      <c r="D4" s="157"/>
    </row>
    <row r="5" spans="1:6" ht="18.75">
      <c r="A5" s="251" t="s">
        <v>217</v>
      </c>
      <c r="D5" s="157" t="s">
        <v>216</v>
      </c>
    </row>
    <row r="6" spans="1:6" ht="18.75">
      <c r="A6" s="251"/>
      <c r="D6" s="157"/>
    </row>
    <row r="7" spans="1:6" ht="18.75">
      <c r="A7" s="251" t="s">
        <v>215</v>
      </c>
      <c r="D7" s="157" t="s">
        <v>214</v>
      </c>
    </row>
    <row r="9" spans="1:6" ht="18.75">
      <c r="A9" s="251" t="s">
        <v>237</v>
      </c>
      <c r="F9" s="157" t="s">
        <v>238</v>
      </c>
    </row>
    <row r="10" spans="1:6">
      <c r="F10" t="s">
        <v>239</v>
      </c>
    </row>
    <row r="11" spans="1:6" ht="23.25">
      <c r="A11" s="252" t="s">
        <v>220</v>
      </c>
    </row>
    <row r="13" spans="1:6">
      <c r="A13" t="s">
        <v>221</v>
      </c>
    </row>
    <row r="14" spans="1:6">
      <c r="B14" t="s">
        <v>222</v>
      </c>
    </row>
    <row r="15" spans="1:6" ht="18">
      <c r="A15" t="s">
        <v>233</v>
      </c>
    </row>
    <row r="16" spans="1:6">
      <c r="B16" t="s">
        <v>223</v>
      </c>
    </row>
    <row r="17" spans="1:2" ht="18">
      <c r="A17" t="s">
        <v>224</v>
      </c>
    </row>
    <row r="18" spans="1:2" ht="18">
      <c r="A18" t="s">
        <v>225</v>
      </c>
    </row>
    <row r="19" spans="1:2">
      <c r="B19" t="s">
        <v>226</v>
      </c>
    </row>
    <row r="20" spans="1:2">
      <c r="A20" s="160" t="s">
        <v>227</v>
      </c>
    </row>
    <row r="21" spans="1:2">
      <c r="B21" t="s">
        <v>234</v>
      </c>
    </row>
    <row r="22" spans="1:2">
      <c r="A22" t="s">
        <v>228</v>
      </c>
    </row>
    <row r="23" spans="1:2">
      <c r="B23" s="160" t="s">
        <v>229</v>
      </c>
    </row>
    <row r="24" spans="1:2">
      <c r="A24" t="s">
        <v>230</v>
      </c>
      <c r="B24" s="160"/>
    </row>
    <row r="25" spans="1:2">
      <c r="B25" t="s">
        <v>231</v>
      </c>
    </row>
    <row r="26" spans="1:2">
      <c r="B26" s="160"/>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H220"/>
  <sheetViews>
    <sheetView tabSelected="1" zoomScale="60" zoomScaleNormal="60" workbookViewId="0">
      <selection activeCell="AC18" sqref="AC18"/>
    </sheetView>
  </sheetViews>
  <sheetFormatPr defaultRowHeight="15"/>
  <cols>
    <col min="1" max="1" width="6.7109375" customWidth="1"/>
    <col min="2" max="2" width="6" style="44" customWidth="1"/>
    <col min="7" max="7" width="8.85546875" style="123"/>
    <col min="23" max="23" width="8.85546875" style="16"/>
    <col min="24" max="24" width="9.140625" customWidth="1"/>
    <col min="25" max="27" width="16.7109375" customWidth="1"/>
    <col min="28" max="28" width="25.28515625" customWidth="1"/>
    <col min="29" max="29" width="24.42578125" customWidth="1"/>
    <col min="30" max="30" width="16.7109375" customWidth="1"/>
  </cols>
  <sheetData>
    <row r="1" spans="1:30" ht="18">
      <c r="A1" s="121" t="s">
        <v>190</v>
      </c>
      <c r="B1" s="56" t="s">
        <v>132</v>
      </c>
      <c r="C1" s="122" t="s">
        <v>188</v>
      </c>
      <c r="D1" s="122" t="s">
        <v>205</v>
      </c>
      <c r="E1" s="304" t="s">
        <v>378</v>
      </c>
      <c r="F1" s="304" t="s">
        <v>379</v>
      </c>
      <c r="G1" s="304"/>
      <c r="H1" s="304"/>
      <c r="I1" s="304"/>
      <c r="J1" s="304"/>
      <c r="K1" s="304"/>
      <c r="L1" s="304"/>
      <c r="M1" s="305"/>
      <c r="N1" s="132" t="s">
        <v>195</v>
      </c>
      <c r="O1" s="133" t="s">
        <v>196</v>
      </c>
      <c r="P1" s="134"/>
      <c r="Q1" s="132" t="s">
        <v>195</v>
      </c>
      <c r="R1" s="133" t="s">
        <v>196</v>
      </c>
      <c r="S1" s="134"/>
      <c r="T1" s="132" t="s">
        <v>195</v>
      </c>
      <c r="U1" s="133" t="s">
        <v>196</v>
      </c>
      <c r="V1" s="134"/>
      <c r="W1" s="309"/>
    </row>
    <row r="2" spans="1:30" ht="18.75">
      <c r="A2" s="115">
        <v>1</v>
      </c>
      <c r="B2" s="37">
        <f>'7. Forecast'!B2</f>
        <v>1.2999999999999998</v>
      </c>
      <c r="C2" s="37">
        <f>'7. Forecast'!C2</f>
        <v>1.2999999999999998</v>
      </c>
      <c r="D2" s="37">
        <f t="shared" ref="D2:D33" si="0">B2-C2</f>
        <v>0</v>
      </c>
      <c r="E2" s="37"/>
      <c r="F2" s="37"/>
      <c r="G2" s="37"/>
      <c r="H2" s="37"/>
      <c r="I2" s="37"/>
      <c r="J2" s="37"/>
      <c r="K2" s="37"/>
      <c r="L2" s="37"/>
      <c r="M2" s="152"/>
      <c r="N2" s="149"/>
      <c r="O2" s="150"/>
      <c r="P2" s="151" t="s">
        <v>194</v>
      </c>
      <c r="Q2" s="149"/>
      <c r="R2" s="150"/>
      <c r="S2" s="151" t="s">
        <v>199</v>
      </c>
      <c r="T2" s="149"/>
      <c r="U2" s="150"/>
      <c r="V2" s="151" t="s">
        <v>200</v>
      </c>
      <c r="W2" s="314"/>
      <c r="Y2" s="306" t="s">
        <v>381</v>
      </c>
      <c r="Z2" s="307" t="s">
        <v>382</v>
      </c>
      <c r="AA2" s="307" t="s">
        <v>383</v>
      </c>
      <c r="AB2" s="307" t="s">
        <v>384</v>
      </c>
      <c r="AC2" s="307"/>
      <c r="AD2" s="308" t="s">
        <v>383</v>
      </c>
    </row>
    <row r="3" spans="1:30" ht="18.75">
      <c r="A3" s="115">
        <v>2</v>
      </c>
      <c r="B3" s="37">
        <f>'7. Forecast'!B3</f>
        <v>8.6</v>
      </c>
      <c r="C3" s="37">
        <f>'7. Forecast'!C3</f>
        <v>1.4361637613250777</v>
      </c>
      <c r="D3" s="37">
        <f t="shared" si="0"/>
        <v>7.1638362386749215</v>
      </c>
      <c r="E3" s="37"/>
      <c r="F3" s="37"/>
      <c r="G3" s="37"/>
      <c r="H3" s="37"/>
      <c r="I3" s="37"/>
      <c r="J3" s="37"/>
      <c r="K3" s="37"/>
      <c r="L3" s="37"/>
      <c r="M3" s="153" t="s">
        <v>149</v>
      </c>
      <c r="N3" s="158">
        <f>'7. Forecast'!N3</f>
        <v>0.71605499035973796</v>
      </c>
      <c r="O3" s="125"/>
      <c r="P3" s="135"/>
      <c r="Q3" s="124">
        <f>'7. Forecast'!Q3</f>
        <v>0.71605499035973796</v>
      </c>
      <c r="R3" s="125"/>
      <c r="S3" s="135"/>
      <c r="T3" s="124">
        <f>'7. Forecast'!T3</f>
        <v>0.71605499035973796</v>
      </c>
      <c r="U3" s="125"/>
      <c r="V3" s="135"/>
      <c r="W3" s="314"/>
      <c r="X3">
        <v>0</v>
      </c>
      <c r="Y3" s="309">
        <v>1</v>
      </c>
      <c r="Z3" s="309"/>
      <c r="AA3" s="310" t="s">
        <v>385</v>
      </c>
      <c r="AB3" s="311">
        <f>1+Y3^2</f>
        <v>2</v>
      </c>
      <c r="AC3" s="311" t="str">
        <f ca="1">_xlfn.FORMULATEXT(AB3)</f>
        <v>=1+Y3^2</v>
      </c>
      <c r="AD3" s="311"/>
    </row>
    <row r="4" spans="1:30" ht="18.75">
      <c r="A4" s="115">
        <v>3</v>
      </c>
      <c r="B4" s="37">
        <f>'7. Forecast'!B4</f>
        <v>12.132</v>
      </c>
      <c r="C4" s="37">
        <f>'7. Forecast'!C4</f>
        <v>6.6177375754583254</v>
      </c>
      <c r="D4" s="37">
        <f t="shared" si="0"/>
        <v>5.5142624245416743</v>
      </c>
      <c r="E4" s="37"/>
      <c r="F4" s="37"/>
      <c r="G4" s="37"/>
      <c r="H4" s="37"/>
      <c r="I4" s="37"/>
      <c r="J4" s="37"/>
      <c r="K4" s="37"/>
      <c r="L4" s="37"/>
      <c r="M4" s="153" t="s">
        <v>147</v>
      </c>
      <c r="N4" s="124"/>
      <c r="O4" s="125"/>
      <c r="P4" s="126"/>
      <c r="Q4" s="124">
        <f>'7. Forecast'!Q4</f>
        <v>1E-3</v>
      </c>
      <c r="R4" s="125"/>
      <c r="S4" s="126"/>
      <c r="T4" s="124">
        <f>'7. Forecast'!T4</f>
        <v>1E-3</v>
      </c>
      <c r="U4" s="125"/>
      <c r="V4" s="127"/>
      <c r="W4" s="315"/>
      <c r="X4">
        <v>1</v>
      </c>
      <c r="Y4" s="319">
        <f>$N$3-$O$6</f>
        <v>0.70968583087972181</v>
      </c>
      <c r="Z4" s="309" t="str">
        <f ca="1">_xlfn.FORMULATEXT(Y4)</f>
        <v>=$N$3-$O$6</v>
      </c>
      <c r="AA4" s="310" t="s">
        <v>386</v>
      </c>
      <c r="AB4" s="312">
        <f>1+SUMSQ($Y$3:Y4)</f>
        <v>2.5036539785514411</v>
      </c>
      <c r="AC4" s="309" t="str">
        <f ca="1">_xlfn.FORMULATEXT(AB4)</f>
        <v>=1+SUMSQ($Y$3:Y4)</v>
      </c>
      <c r="AD4" s="311"/>
    </row>
    <row r="5" spans="1:30" ht="18.75">
      <c r="A5" s="115">
        <v>4</v>
      </c>
      <c r="B5" s="37">
        <f>'7. Forecast'!B5</f>
        <v>10.9696</v>
      </c>
      <c r="C5" s="37">
        <f>'7. Forecast'!C5</f>
        <v>9.1573502001051938</v>
      </c>
      <c r="D5" s="37">
        <f t="shared" si="0"/>
        <v>1.8122497998948059</v>
      </c>
      <c r="E5" s="37"/>
      <c r="F5" s="37"/>
      <c r="G5" s="37"/>
      <c r="H5" s="37"/>
      <c r="I5" s="37"/>
      <c r="J5" s="37"/>
      <c r="K5" s="37"/>
      <c r="L5" s="37"/>
      <c r="M5" s="153" t="s">
        <v>145</v>
      </c>
      <c r="N5" s="124"/>
      <c r="O5" s="125"/>
      <c r="P5" s="126"/>
      <c r="Q5" s="124"/>
      <c r="R5" s="125"/>
      <c r="S5" s="126"/>
      <c r="T5" s="124">
        <f>'7. Forecast'!T5</f>
        <v>1E-3</v>
      </c>
      <c r="U5" s="125"/>
      <c r="V5" s="127"/>
      <c r="W5" s="315"/>
      <c r="X5">
        <v>2</v>
      </c>
      <c r="Y5" s="319">
        <f t="shared" ref="Y5:Y13" si="1">$N$3*Y4</f>
        <v>0.50817408078902182</v>
      </c>
      <c r="Z5" s="309" t="str">
        <f t="shared" ref="Z5:Z13" ca="1" si="2">_xlfn.FORMULATEXT(Y5)</f>
        <v>=$N$3*Y4</v>
      </c>
      <c r="AA5" s="310" t="s">
        <v>387</v>
      </c>
      <c r="AB5" s="312">
        <f>1+SUMSQ($Y$3:Y5)</f>
        <v>2.7618948749372083</v>
      </c>
      <c r="AC5" s="309" t="str">
        <f t="shared" ref="AC5:AC13" ca="1" si="3">_xlfn.FORMULATEXT(AB5)</f>
        <v>=1+SUMSQ($Y$3:Y5)</v>
      </c>
      <c r="AD5" s="311"/>
    </row>
    <row r="6" spans="1:30" ht="18.75">
      <c r="A6" s="115">
        <v>5</v>
      </c>
      <c r="B6" s="37">
        <f>'7. Forecast'!B6</f>
        <v>7.8545599999999984</v>
      </c>
      <c r="C6" s="37">
        <f>'7. Forecast'!C6</f>
        <v>8.3485865881144434</v>
      </c>
      <c r="D6" s="37">
        <f t="shared" si="0"/>
        <v>-0.494026588114445</v>
      </c>
      <c r="E6" s="37"/>
      <c r="F6" s="37"/>
      <c r="G6" s="37"/>
      <c r="H6" s="37"/>
      <c r="I6" s="37"/>
      <c r="J6" s="37"/>
      <c r="K6" s="37"/>
      <c r="L6" s="37"/>
      <c r="M6" s="154" t="s">
        <v>72</v>
      </c>
      <c r="N6" s="128"/>
      <c r="O6" s="299">
        <f>'7. Forecast'!O6</f>
        <v>6.3691594800161068E-3</v>
      </c>
      <c r="P6" s="130"/>
      <c r="Q6" s="128"/>
      <c r="R6" s="129">
        <f>'7. Forecast'!R6</f>
        <v>6.3691594800161068E-3</v>
      </c>
      <c r="S6" s="130"/>
      <c r="T6" s="128"/>
      <c r="U6" s="129">
        <f>'7. Forecast'!U6</f>
        <v>6.3691594800161068E-3</v>
      </c>
      <c r="V6" s="131"/>
      <c r="W6" s="315"/>
      <c r="X6">
        <v>3</v>
      </c>
      <c r="Y6" s="319">
        <f t="shared" si="1"/>
        <v>0.36388058652045174</v>
      </c>
      <c r="Z6" s="309" t="str">
        <f t="shared" ca="1" si="2"/>
        <v>=$N$3*Y5</v>
      </c>
      <c r="AA6" s="310" t="s">
        <v>388</v>
      </c>
      <c r="AB6" s="312">
        <f>1+SUMSQ($Y$3:Y6)</f>
        <v>2.8943039561836761</v>
      </c>
      <c r="AC6" s="309" t="str">
        <f t="shared" ca="1" si="3"/>
        <v>=1+SUMSQ($Y$3:Y6)</v>
      </c>
      <c r="AD6" s="311"/>
    </row>
    <row r="7" spans="1:30" ht="18.75">
      <c r="A7" s="115">
        <v>6</v>
      </c>
      <c r="B7" s="37">
        <f>'7. Forecast'!B7</f>
        <v>6.9285119999999987</v>
      </c>
      <c r="C7" s="37">
        <f>'7. Forecast'!C7</f>
        <v>6.1327356930644692</v>
      </c>
      <c r="D7" s="37">
        <f t="shared" si="0"/>
        <v>0.79577630693552948</v>
      </c>
      <c r="E7" s="37"/>
      <c r="F7" s="37"/>
      <c r="G7" s="37"/>
      <c r="H7" s="37"/>
      <c r="I7" s="37"/>
      <c r="J7" s="37"/>
      <c r="K7" s="37"/>
      <c r="L7" s="37"/>
      <c r="M7" s="155"/>
      <c r="N7" s="147"/>
      <c r="O7" s="148"/>
      <c r="P7" s="143" t="s">
        <v>201</v>
      </c>
      <c r="Q7" s="147"/>
      <c r="R7" s="148"/>
      <c r="S7" s="143" t="s">
        <v>198</v>
      </c>
      <c r="T7" s="148"/>
      <c r="U7" s="148"/>
      <c r="V7" s="143" t="s">
        <v>202</v>
      </c>
      <c r="W7" s="314"/>
      <c r="X7">
        <v>4</v>
      </c>
      <c r="Y7" s="319">
        <f t="shared" si="1"/>
        <v>0.26055850987299789</v>
      </c>
      <c r="Z7" s="309" t="str">
        <f t="shared" ca="1" si="2"/>
        <v>=$N$3*Y6</v>
      </c>
      <c r="AA7" s="310" t="s">
        <v>389</v>
      </c>
      <c r="AB7" s="312">
        <f>1+SUMSQ($Y$3:Y7)</f>
        <v>2.9621946932509133</v>
      </c>
      <c r="AC7" s="309" t="str">
        <f t="shared" ca="1" si="3"/>
        <v>=1+SUMSQ($Y$3:Y7)</v>
      </c>
      <c r="AD7" s="311"/>
    </row>
    <row r="8" spans="1:30" ht="18.75">
      <c r="A8" s="115">
        <v>7</v>
      </c>
      <c r="B8" s="37">
        <f>'7. Forecast'!B8</f>
        <v>3.8660799999999984</v>
      </c>
      <c r="C8" s="37">
        <f>'7. Forecast'!C8</f>
        <v>5.4614194410154555</v>
      </c>
      <c r="D8" s="37">
        <f t="shared" si="0"/>
        <v>-1.5953394410154571</v>
      </c>
      <c r="E8" s="37"/>
      <c r="F8" s="37"/>
      <c r="G8" s="37"/>
      <c r="H8" s="37"/>
      <c r="I8" s="37"/>
      <c r="J8" s="37"/>
      <c r="K8" s="37"/>
      <c r="L8" s="37"/>
      <c r="M8" s="156" t="s">
        <v>149</v>
      </c>
      <c r="N8" s="137">
        <f>'7. Forecast'!N8</f>
        <v>1E-3</v>
      </c>
      <c r="O8" s="136"/>
      <c r="P8" s="138"/>
      <c r="Q8" s="137">
        <f>'7. Forecast'!Q8</f>
        <v>1E-3</v>
      </c>
      <c r="R8" s="136"/>
      <c r="S8" s="138"/>
      <c r="T8" s="136">
        <f>'7. Forecast'!T8</f>
        <v>1E-3</v>
      </c>
      <c r="U8" s="136"/>
      <c r="V8" s="138"/>
      <c r="W8" s="316"/>
      <c r="X8">
        <v>5</v>
      </c>
      <c r="Y8" s="319">
        <f t="shared" si="1"/>
        <v>0.18657422127525719</v>
      </c>
      <c r="Z8" s="309" t="str">
        <f t="shared" ca="1" si="2"/>
        <v>=$N$3*Y7</v>
      </c>
      <c r="AA8" s="310" t="s">
        <v>390</v>
      </c>
      <c r="AB8" s="312">
        <f>1+SUMSQ($Y$3:Y8)</f>
        <v>2.9970046332953819</v>
      </c>
      <c r="AC8" s="309" t="str">
        <f t="shared" ca="1" si="3"/>
        <v>=1+SUMSQ($Y$3:Y8)</v>
      </c>
      <c r="AD8" s="313"/>
    </row>
    <row r="9" spans="1:30" ht="18.75">
      <c r="A9" s="115">
        <v>8</v>
      </c>
      <c r="B9" s="37">
        <f>'7. Forecast'!B9</f>
        <v>2.9443020799999982</v>
      </c>
      <c r="C9" s="37">
        <f>'7. Forecast'!C9</f>
        <v>3.2837791223119805</v>
      </c>
      <c r="D9" s="37">
        <f t="shared" si="0"/>
        <v>-0.33947704231198239</v>
      </c>
      <c r="E9" s="37"/>
      <c r="F9" s="37"/>
      <c r="G9" s="37"/>
      <c r="H9" s="37"/>
      <c r="I9" s="37"/>
      <c r="J9" s="37"/>
      <c r="K9" s="37"/>
      <c r="L9" s="37"/>
      <c r="M9" s="156" t="s">
        <v>147</v>
      </c>
      <c r="N9" s="137"/>
      <c r="O9" s="136"/>
      <c r="P9" s="139"/>
      <c r="Q9" s="137">
        <f>'7. Forecast'!Q9</f>
        <v>1E-3</v>
      </c>
      <c r="R9" s="136"/>
      <c r="S9" s="139"/>
      <c r="T9" s="136">
        <f>'7. Forecast'!T9</f>
        <v>1E-3</v>
      </c>
      <c r="U9" s="136"/>
      <c r="V9" s="139"/>
      <c r="W9" s="317"/>
      <c r="X9">
        <v>6</v>
      </c>
      <c r="Y9" s="319">
        <f t="shared" si="1"/>
        <v>0.13359740221662991</v>
      </c>
      <c r="Z9" s="309" t="str">
        <f t="shared" ca="1" si="2"/>
        <v>=$N$3*Y8</v>
      </c>
      <c r="AA9" s="310" t="s">
        <v>391</v>
      </c>
      <c r="AB9" s="312">
        <f>1+SUMSQ($Y$3:Y9)</f>
        <v>3.0148528991744139</v>
      </c>
      <c r="AC9" s="309" t="str">
        <f t="shared" ca="1" si="3"/>
        <v>=1+SUMSQ($Y$3:Y9)</v>
      </c>
      <c r="AD9" s="313"/>
    </row>
    <row r="10" spans="1:30" ht="18.75">
      <c r="A10" s="115">
        <v>9</v>
      </c>
      <c r="B10" s="37">
        <f>'7. Forecast'!B10</f>
        <v>-0.12313113600000225</v>
      </c>
      <c r="C10" s="37">
        <f>'7. Forecast'!C10</f>
        <v>2.6157366547902625</v>
      </c>
      <c r="D10" s="37">
        <f t="shared" si="0"/>
        <v>-2.7388677907902648</v>
      </c>
      <c r="E10" s="37"/>
      <c r="F10" s="37"/>
      <c r="G10" s="37"/>
      <c r="H10" s="37"/>
      <c r="I10" s="37"/>
      <c r="J10" s="37"/>
      <c r="K10" s="37"/>
      <c r="L10" s="37"/>
      <c r="M10" s="156" t="s">
        <v>145</v>
      </c>
      <c r="N10" s="137"/>
      <c r="O10" s="136"/>
      <c r="P10" s="139"/>
      <c r="Q10" s="137"/>
      <c r="R10" s="136"/>
      <c r="S10" s="139"/>
      <c r="T10" s="136">
        <f>'7. Forecast'!T10</f>
        <v>1E-3</v>
      </c>
      <c r="U10" s="136"/>
      <c r="V10" s="139"/>
      <c r="W10" s="317"/>
      <c r="X10">
        <v>7</v>
      </c>
      <c r="Y10" s="319">
        <f t="shared" si="1"/>
        <v>9.5663086556314961E-2</v>
      </c>
      <c r="Z10" s="309" t="str">
        <f t="shared" ca="1" si="2"/>
        <v>=$N$3*Y9</v>
      </c>
      <c r="AA10" s="310" t="s">
        <v>392</v>
      </c>
      <c r="AB10" s="312">
        <f>1+SUMSQ($Y$3:Y10)</f>
        <v>3.0240043253038951</v>
      </c>
      <c r="AC10" s="309" t="str">
        <f t="shared" ca="1" si="3"/>
        <v>=1+SUMSQ($Y$3:Y10)</v>
      </c>
      <c r="AD10" s="313"/>
    </row>
    <row r="11" spans="1:30" ht="18.75">
      <c r="A11" s="115">
        <v>10</v>
      </c>
      <c r="B11" s="37">
        <f>'7. Forecast'!B11</f>
        <v>4.9504067583999998</v>
      </c>
      <c r="C11" s="37">
        <f>'7. Forecast'!C11</f>
        <v>0.43456789521017586</v>
      </c>
      <c r="D11" s="37">
        <f t="shared" si="0"/>
        <v>4.5158388631898241</v>
      </c>
      <c r="E11" s="37"/>
      <c r="F11" s="37"/>
      <c r="G11" s="37"/>
      <c r="H11" s="37"/>
      <c r="I11" s="37"/>
      <c r="J11" s="37"/>
      <c r="K11" s="37"/>
      <c r="L11" s="37"/>
      <c r="M11" s="155" t="s">
        <v>72</v>
      </c>
      <c r="N11" s="137"/>
      <c r="O11" s="136">
        <f>'7. Forecast'!O11</f>
        <v>1E-3</v>
      </c>
      <c r="P11" s="139"/>
      <c r="Q11" s="137"/>
      <c r="R11" s="136">
        <f>'7. Forecast'!R11</f>
        <v>1E-3</v>
      </c>
      <c r="S11" s="139"/>
      <c r="T11" s="136"/>
      <c r="U11" s="136">
        <f>'7. Forecast'!U11</f>
        <v>1E-3</v>
      </c>
      <c r="V11" s="139"/>
      <c r="W11" s="317"/>
      <c r="X11">
        <v>8</v>
      </c>
      <c r="Y11" s="319">
        <f t="shared" si="1"/>
        <v>6.8500030521864888E-2</v>
      </c>
      <c r="Z11" s="309" t="str">
        <f t="shared" ca="1" si="2"/>
        <v>=$N$3*Y10</v>
      </c>
      <c r="AA11" s="310" t="s">
        <v>393</v>
      </c>
      <c r="AB11" s="312">
        <f>1+SUMSQ($Y$3:Y11)</f>
        <v>3.0286965794853913</v>
      </c>
      <c r="AC11" s="309" t="str">
        <f t="shared" ca="1" si="3"/>
        <v>=1+SUMSQ($Y$3:Y11)</v>
      </c>
      <c r="AD11" s="313"/>
    </row>
    <row r="12" spans="1:30" ht="18.75">
      <c r="A12" s="115">
        <v>11</v>
      </c>
      <c r="B12" s="37">
        <f>'7. Forecast'!B12</f>
        <v>3.2800263884799983</v>
      </c>
      <c r="C12" s="37">
        <f>'7. Forecast'!C12</f>
        <v>4.0212936396146013</v>
      </c>
      <c r="D12" s="37">
        <f t="shared" si="0"/>
        <v>-0.74126725113460301</v>
      </c>
      <c r="E12" s="37"/>
      <c r="F12" s="37"/>
      <c r="G12" s="37"/>
      <c r="H12" s="37"/>
      <c r="I12" s="37"/>
      <c r="J12" s="37"/>
      <c r="K12" s="37"/>
      <c r="L12" s="37"/>
      <c r="M12" s="155" t="s">
        <v>74</v>
      </c>
      <c r="N12" s="140"/>
      <c r="O12" s="141">
        <f>'7. Forecast'!O12</f>
        <v>1E-3</v>
      </c>
      <c r="P12" s="142"/>
      <c r="Q12" s="140"/>
      <c r="R12" s="136">
        <f>'7. Forecast'!R12</f>
        <v>1E-3</v>
      </c>
      <c r="S12" s="142"/>
      <c r="T12" s="141"/>
      <c r="U12" s="136">
        <f>'7. Forecast'!U12</f>
        <v>1E-3</v>
      </c>
      <c r="V12" s="142"/>
      <c r="W12" s="317"/>
      <c r="X12">
        <v>9</v>
      </c>
      <c r="Y12" s="319">
        <f t="shared" si="1"/>
        <v>4.904978869497572E-2</v>
      </c>
      <c r="Z12" s="309" t="str">
        <f t="shared" ca="1" si="2"/>
        <v>=$N$3*Y11</v>
      </c>
      <c r="AA12" s="310" t="s">
        <v>394</v>
      </c>
      <c r="AB12" s="312">
        <f>1+SUMSQ($Y$3:Y12)</f>
        <v>3.0311024612564132</v>
      </c>
      <c r="AC12" s="309" t="str">
        <f t="shared" ca="1" si="3"/>
        <v>=1+SUMSQ($Y$3:Y12)</v>
      </c>
      <c r="AD12" s="313"/>
    </row>
    <row r="13" spans="1:30" ht="18.75">
      <c r="A13" s="115">
        <v>12</v>
      </c>
      <c r="B13" s="37">
        <f>'7. Forecast'!B13</f>
        <v>-8.8043970560002904E-2</v>
      </c>
      <c r="C13" s="37">
        <f>'7. Forecast'!C13</f>
        <v>2.858692787179939</v>
      </c>
      <c r="D13" s="37">
        <f t="shared" si="0"/>
        <v>-2.9467367577399419</v>
      </c>
      <c r="E13" s="37"/>
      <c r="F13" s="37"/>
      <c r="G13" s="37"/>
      <c r="H13" s="37"/>
      <c r="I13" s="37"/>
      <c r="J13" s="37"/>
      <c r="K13" s="37"/>
      <c r="L13" s="37"/>
      <c r="M13" s="182"/>
      <c r="N13" s="144"/>
      <c r="O13" s="145"/>
      <c r="P13" s="146" t="s">
        <v>204</v>
      </c>
      <c r="Q13" s="144"/>
      <c r="R13" s="145"/>
      <c r="S13" s="146" t="s">
        <v>203</v>
      </c>
      <c r="T13" s="145"/>
      <c r="U13" s="145"/>
      <c r="V13" s="146" t="s">
        <v>197</v>
      </c>
      <c r="W13" s="314"/>
      <c r="X13">
        <v>10</v>
      </c>
      <c r="Y13" s="319">
        <f t="shared" si="1"/>
        <v>3.5122345971128024E-2</v>
      </c>
      <c r="Z13" s="309" t="str">
        <f t="shared" ca="1" si="2"/>
        <v>=$N$3*Y12</v>
      </c>
      <c r="AA13" s="310" t="s">
        <v>395</v>
      </c>
      <c r="AB13" s="312">
        <f>1+SUMSQ($Y$3:Y13)</f>
        <v>3.0323360404429289</v>
      </c>
      <c r="AC13" s="309" t="str">
        <f t="shared" ca="1" si="3"/>
        <v>=1+SUMSQ($Y$3:Y13)</v>
      </c>
    </row>
    <row r="14" spans="1:30" ht="18">
      <c r="A14" s="115">
        <v>13</v>
      </c>
      <c r="B14" s="37">
        <f>'7. Forecast'!B14</f>
        <v>2.8647606013951963</v>
      </c>
      <c r="C14" s="37">
        <f>'7. Forecast'!C14</f>
        <v>0.46101618572251385</v>
      </c>
      <c r="D14" s="37">
        <f t="shared" si="0"/>
        <v>2.4037444156726826</v>
      </c>
      <c r="E14" s="37"/>
      <c r="F14" s="37"/>
      <c r="G14" s="37"/>
      <c r="H14" s="37"/>
      <c r="I14" s="37"/>
      <c r="J14" s="37"/>
      <c r="K14" s="37"/>
      <c r="L14" s="37"/>
      <c r="M14" s="183" t="s">
        <v>149</v>
      </c>
      <c r="N14" s="324">
        <f>'7. Forecast'!N14</f>
        <v>1E-3</v>
      </c>
      <c r="O14" s="325"/>
      <c r="P14" s="326"/>
      <c r="Q14" s="324">
        <f>'7. Forecast'!Q14</f>
        <v>1E-3</v>
      </c>
      <c r="R14" s="325"/>
      <c r="S14" s="326"/>
      <c r="T14" s="325">
        <f>'7. Forecast'!T14</f>
        <v>1E-3</v>
      </c>
      <c r="U14" s="325"/>
      <c r="V14" s="326"/>
      <c r="W14" s="316"/>
    </row>
    <row r="15" spans="1:30" ht="18">
      <c r="A15" s="115">
        <v>14</v>
      </c>
      <c r="B15" s="37">
        <f>'7. Forecast'!B15</f>
        <v>3.345895516405756</v>
      </c>
      <c r="C15" s="37">
        <f>'7. Forecast'!C15</f>
        <v>2.5413085671397955</v>
      </c>
      <c r="D15" s="37">
        <f t="shared" si="0"/>
        <v>0.80458694926596053</v>
      </c>
      <c r="E15" s="37"/>
      <c r="F15" s="37"/>
      <c r="G15" s="37"/>
      <c r="H15" s="37"/>
      <c r="I15" s="37"/>
      <c r="J15" s="37"/>
      <c r="K15" s="37"/>
      <c r="L15" s="37"/>
      <c r="M15" s="183" t="s">
        <v>147</v>
      </c>
      <c r="N15" s="184"/>
      <c r="O15" s="185"/>
      <c r="P15" s="187"/>
      <c r="Q15" s="184">
        <f>'7. Forecast'!Q15</f>
        <v>1E-3</v>
      </c>
      <c r="R15" s="185"/>
      <c r="S15" s="187"/>
      <c r="T15" s="185">
        <f>'7. Forecast'!T15</f>
        <v>1E-3</v>
      </c>
      <c r="U15" s="185"/>
      <c r="V15" s="187"/>
      <c r="W15" s="317"/>
    </row>
    <row r="16" spans="1:30" ht="18">
      <c r="A16" s="115">
        <v>15</v>
      </c>
      <c r="B16" s="37">
        <f>'7. Forecast'!B16</f>
        <v>1.8383547169013719</v>
      </c>
      <c r="C16" s="37">
        <f>'7. Forecast'!C16</f>
        <v>2.8960129130066177</v>
      </c>
      <c r="D16" s="37">
        <f t="shared" si="0"/>
        <v>-1.0576581961052458</v>
      </c>
      <c r="E16" s="37"/>
      <c r="F16" s="37"/>
      <c r="G16" s="37"/>
      <c r="H16" s="37"/>
      <c r="I16" s="37"/>
      <c r="J16" s="37"/>
      <c r="K16" s="37"/>
      <c r="L16" s="37"/>
      <c r="M16" s="183" t="s">
        <v>145</v>
      </c>
      <c r="N16" s="184"/>
      <c r="O16" s="185"/>
      <c r="P16" s="187"/>
      <c r="Q16" s="184"/>
      <c r="R16" s="185"/>
      <c r="S16" s="187"/>
      <c r="T16" s="185">
        <f>'7. Forecast'!T16</f>
        <v>1E-3</v>
      </c>
      <c r="U16" s="185"/>
      <c r="V16" s="187"/>
      <c r="W16" s="317"/>
    </row>
    <row r="17" spans="1:34" ht="18">
      <c r="A17" s="115">
        <v>16</v>
      </c>
      <c r="B17" s="37">
        <f>'7. Forecast'!B17</f>
        <v>4.535340490896175</v>
      </c>
      <c r="C17" s="37">
        <f>'7. Forecast'!C17</f>
        <v>1.8283917366723497</v>
      </c>
      <c r="D17" s="37">
        <f t="shared" si="0"/>
        <v>2.7069487542238253</v>
      </c>
      <c r="E17" s="37"/>
      <c r="F17" s="37"/>
      <c r="G17" s="37"/>
      <c r="H17" s="37"/>
      <c r="I17" s="37"/>
      <c r="J17" s="37"/>
      <c r="K17" s="37"/>
      <c r="L17" s="37"/>
      <c r="M17" s="182" t="s">
        <v>72</v>
      </c>
      <c r="N17" s="184"/>
      <c r="O17" s="185">
        <f>'7. Forecast'!O17</f>
        <v>1E-3</v>
      </c>
      <c r="P17" s="187"/>
      <c r="Q17" s="184"/>
      <c r="R17" s="185">
        <f>'7. Forecast'!R17</f>
        <v>1E-3</v>
      </c>
      <c r="S17" s="187"/>
      <c r="T17" s="185"/>
      <c r="U17" s="185">
        <f>'7. Forecast'!U17</f>
        <v>1E-3</v>
      </c>
      <c r="V17" s="187"/>
      <c r="W17" s="317"/>
    </row>
    <row r="18" spans="1:34" ht="18">
      <c r="A18" s="115">
        <v>17</v>
      </c>
      <c r="B18" s="37">
        <f>'7. Forecast'!B18</f>
        <v>0.91413563801271902</v>
      </c>
      <c r="C18" s="37">
        <f>'7. Forecast'!C18</f>
        <v>3.7356044770243257</v>
      </c>
      <c r="D18" s="37">
        <f t="shared" si="0"/>
        <v>-2.8214688390116067</v>
      </c>
      <c r="E18" s="37"/>
      <c r="F18" s="37"/>
      <c r="G18" s="37"/>
      <c r="H18" s="37"/>
      <c r="I18" s="37"/>
      <c r="J18" s="37"/>
      <c r="K18" s="37"/>
      <c r="L18" s="37"/>
      <c r="M18" s="182" t="s">
        <v>74</v>
      </c>
      <c r="N18" s="184"/>
      <c r="O18" s="185">
        <f>'7. Forecast'!O18</f>
        <v>1E-3</v>
      </c>
      <c r="P18" s="187"/>
      <c r="Q18" s="184"/>
      <c r="R18" s="185">
        <f>'7. Forecast'!R18</f>
        <v>1E-3</v>
      </c>
      <c r="S18" s="187"/>
      <c r="T18" s="185"/>
      <c r="U18" s="185">
        <f>'7. Forecast'!U18</f>
        <v>1E-3</v>
      </c>
      <c r="V18" s="187"/>
      <c r="W18" s="317"/>
    </row>
    <row r="19" spans="1:34" ht="18">
      <c r="A19" s="115">
        <v>18</v>
      </c>
      <c r="B19" s="37">
        <f>'7. Forecast'!B19</f>
        <v>1.7656540318667853</v>
      </c>
      <c r="C19" s="37">
        <f>'7. Forecast'!C19</f>
        <v>1.1778340443256696</v>
      </c>
      <c r="D19" s="37">
        <f t="shared" si="0"/>
        <v>0.58781998754111564</v>
      </c>
      <c r="E19" s="37"/>
      <c r="F19" s="37"/>
      <c r="G19" s="37"/>
      <c r="H19" s="37"/>
      <c r="I19" s="37"/>
      <c r="J19" s="37"/>
      <c r="K19" s="37"/>
      <c r="L19" s="37"/>
      <c r="M19" s="188" t="s">
        <v>76</v>
      </c>
      <c r="N19" s="189"/>
      <c r="O19" s="190">
        <f>'7. Forecast'!O19</f>
        <v>1E-3</v>
      </c>
      <c r="P19" s="191"/>
      <c r="Q19" s="189"/>
      <c r="R19" s="190">
        <f>'7. Forecast'!R19</f>
        <v>1E-3</v>
      </c>
      <c r="S19" s="191"/>
      <c r="T19" s="190"/>
      <c r="U19" s="190">
        <f>'7. Forecast'!U19</f>
        <v>1E-3</v>
      </c>
      <c r="V19" s="191"/>
      <c r="W19" s="317"/>
    </row>
    <row r="20" spans="1:34">
      <c r="A20" s="115">
        <v>19</v>
      </c>
      <c r="B20" s="37">
        <f>'7. Forecast'!B20</f>
        <v>2.4062615234113913</v>
      </c>
      <c r="C20" s="37">
        <f>'7. Forecast'!C20</f>
        <v>1.7658537353782315</v>
      </c>
      <c r="D20" s="37">
        <f t="shared" si="0"/>
        <v>0.64040778803315979</v>
      </c>
      <c r="E20" s="37"/>
      <c r="F20" s="37"/>
      <c r="G20" s="37"/>
      <c r="H20" s="37"/>
      <c r="I20" s="37"/>
      <c r="J20" s="37"/>
      <c r="K20" s="37"/>
      <c r="L20" s="37"/>
      <c r="M20" s="123"/>
    </row>
    <row r="21" spans="1:34" ht="18.75">
      <c r="A21" s="115">
        <v>20</v>
      </c>
      <c r="B21" s="37">
        <f>'7. Forecast'!B21</f>
        <v>4.962504573630425</v>
      </c>
      <c r="C21" s="37">
        <f>'7. Forecast'!C21</f>
        <v>2.2242289864725433</v>
      </c>
      <c r="D21" s="37">
        <f t="shared" si="0"/>
        <v>2.7382755871578817</v>
      </c>
      <c r="G21" s="157"/>
      <c r="K21" s="322"/>
      <c r="L21" s="323" t="s">
        <v>380</v>
      </c>
      <c r="M21" s="322"/>
      <c r="N21" s="322">
        <f>_xlfn.VAR.S(D2:D51)</f>
        <v>7.148552736651439</v>
      </c>
      <c r="P21" s="16"/>
      <c r="Q21" s="16"/>
      <c r="R21" s="16"/>
      <c r="S21" s="16"/>
      <c r="T21" s="16"/>
      <c r="U21" s="16"/>
    </row>
    <row r="22" spans="1:34" ht="15.75">
      <c r="A22" s="115">
        <v>21</v>
      </c>
      <c r="B22" s="37">
        <f>'7. Forecast'!B22</f>
        <v>1.2850018151585152</v>
      </c>
      <c r="C22" s="37">
        <f>'7. Forecast'!C22</f>
        <v>4.0412779245736647</v>
      </c>
      <c r="D22" s="37">
        <f t="shared" si="0"/>
        <v>-2.7562761094151496</v>
      </c>
      <c r="N22" s="282"/>
    </row>
    <row r="23" spans="1:34" ht="15.75">
      <c r="A23" s="115">
        <v>22</v>
      </c>
      <c r="B23" s="37">
        <f>'7. Forecast'!B23</f>
        <v>2.1140007203459419</v>
      </c>
      <c r="C23" s="37">
        <f>'7. Forecast'!C23</f>
        <v>1.4429793983348183</v>
      </c>
      <c r="D23" s="37">
        <f t="shared" si="0"/>
        <v>0.67102132201112363</v>
      </c>
      <c r="M23" s="11"/>
      <c r="X23" s="11"/>
      <c r="Y23" s="284"/>
    </row>
    <row r="24" spans="1:34" ht="15.75">
      <c r="A24" s="115">
        <v>23</v>
      </c>
      <c r="B24" s="37">
        <f>'7. Forecast'!B24</f>
        <v>2.7456002858513884</v>
      </c>
      <c r="C24" s="37">
        <f>'7. Forecast'!C24</f>
        <v>2.014759197470831</v>
      </c>
      <c r="D24" s="37">
        <f t="shared" si="0"/>
        <v>0.73084108838055739</v>
      </c>
      <c r="X24" s="11"/>
      <c r="Y24" s="284"/>
    </row>
    <row r="25" spans="1:34" ht="15.75">
      <c r="A25" s="115">
        <v>24</v>
      </c>
      <c r="B25" s="37">
        <f>'7. Forecast'!B25</f>
        <v>1.2982401134257575</v>
      </c>
      <c r="C25" s="37">
        <f>'7. Forecast'!C25</f>
        <v>2.4666382166279837</v>
      </c>
      <c r="D25" s="37">
        <f t="shared" si="0"/>
        <v>-1.1683981032022261</v>
      </c>
      <c r="M25" s="11"/>
      <c r="X25" s="11"/>
      <c r="Y25" s="284"/>
    </row>
    <row r="26" spans="1:34" ht="15.75">
      <c r="A26" s="115">
        <v>25</v>
      </c>
      <c r="B26" s="37">
        <f>'7. Forecast'!B26</f>
        <v>1.9296045004381313E-2</v>
      </c>
      <c r="C26" s="37">
        <f>'7. Forecast'!C26</f>
        <v>1.4423452996165678</v>
      </c>
      <c r="D26" s="37">
        <f t="shared" si="0"/>
        <v>-1.4230492546121865</v>
      </c>
      <c r="X26" s="11"/>
      <c r="Y26" s="284"/>
    </row>
    <row r="27" spans="1:34" ht="15.75">
      <c r="A27" s="115">
        <v>26</v>
      </c>
      <c r="B27" s="37">
        <f>'7. Forecast'!B27</f>
        <v>0.8077184178553809</v>
      </c>
      <c r="C27" s="37">
        <f>'7. Forecast'!C27</f>
        <v>0.5281729308275549</v>
      </c>
      <c r="D27" s="37">
        <f t="shared" si="0"/>
        <v>0.279545487027826</v>
      </c>
      <c r="N27" s="283"/>
      <c r="O27" s="283"/>
      <c r="X27" s="11"/>
      <c r="Y27" s="284"/>
    </row>
    <row r="28" spans="1:34" ht="15.75">
      <c r="A28" s="115">
        <v>27</v>
      </c>
      <c r="B28" s="37">
        <f>'7. Forecast'!B28</f>
        <v>-0.57691263291639938</v>
      </c>
      <c r="C28" s="37">
        <f>'7. Forecast'!C28</f>
        <v>1.081882607979437</v>
      </c>
      <c r="D28" s="37">
        <f t="shared" si="0"/>
        <v>-1.6587952408958364</v>
      </c>
      <c r="N28" s="286"/>
      <c r="O28" s="287"/>
      <c r="P28" s="11"/>
      <c r="Q28" s="11"/>
      <c r="R28" s="11"/>
      <c r="S28" s="11"/>
      <c r="T28" s="11"/>
      <c r="U28" s="11"/>
      <c r="V28" s="11"/>
      <c r="W28" s="318"/>
      <c r="X28" s="11"/>
      <c r="Y28" s="284"/>
      <c r="AG28" s="285"/>
    </row>
    <row r="29" spans="1:34" ht="15.75">
      <c r="A29" s="115">
        <v>28</v>
      </c>
      <c r="B29" s="37">
        <f>'7. Forecast'!B29</f>
        <v>-1.8307650531899835</v>
      </c>
      <c r="C29" s="37">
        <f>'7. Forecast'!C29</f>
        <v>0.10275623549001239</v>
      </c>
      <c r="D29" s="37">
        <f t="shared" si="0"/>
        <v>-1.933521288679996</v>
      </c>
      <c r="N29" s="286"/>
      <c r="O29" s="287"/>
      <c r="P29" s="11"/>
      <c r="Q29" s="11"/>
      <c r="R29" s="11"/>
      <c r="S29" s="11"/>
      <c r="T29" s="11"/>
      <c r="U29" s="11"/>
      <c r="V29" s="11"/>
      <c r="W29" s="318"/>
      <c r="X29" s="11"/>
      <c r="Y29" s="284"/>
      <c r="AG29" s="285"/>
    </row>
    <row r="30" spans="1:34" ht="15.75">
      <c r="A30" s="115">
        <v>29</v>
      </c>
      <c r="B30" s="37">
        <f>'7. Forecast'!B30</f>
        <v>-3.0323060212853661</v>
      </c>
      <c r="C30" s="37">
        <f>'7. Forecast'!C30</f>
        <v>-0.79332127320987122</v>
      </c>
      <c r="D30" s="37">
        <f t="shared" si="0"/>
        <v>-2.2389847480754947</v>
      </c>
      <c r="N30" s="286"/>
      <c r="O30" s="287"/>
      <c r="P30" s="11"/>
      <c r="Q30" s="11"/>
      <c r="R30" s="11"/>
      <c r="S30" s="11"/>
      <c r="T30" s="11"/>
      <c r="U30" s="11"/>
      <c r="V30" s="11"/>
      <c r="W30" s="318"/>
      <c r="X30" s="11"/>
      <c r="Y30" s="284"/>
      <c r="AG30" s="285"/>
    </row>
    <row r="31" spans="1:34" ht="15.75">
      <c r="A31" s="115">
        <v>30</v>
      </c>
      <c r="B31" s="37">
        <f>'7. Forecast'!B31</f>
        <v>-6.2129224085178993</v>
      </c>
      <c r="C31" s="37">
        <f>'7. Forecast'!C31</f>
        <v>-1.6517451340480331</v>
      </c>
      <c r="D31" s="37">
        <f t="shared" si="0"/>
        <v>-4.5611772744698662</v>
      </c>
      <c r="N31" s="286"/>
      <c r="O31" s="287"/>
      <c r="P31" s="11"/>
      <c r="Q31" s="11"/>
      <c r="R31" s="11"/>
      <c r="S31" s="11"/>
      <c r="T31" s="11"/>
      <c r="U31" s="11"/>
      <c r="V31" s="11"/>
      <c r="W31" s="318"/>
      <c r="X31" s="11"/>
      <c r="Y31" s="284"/>
      <c r="AG31" s="285"/>
      <c r="AH31" s="11"/>
    </row>
    <row r="32" spans="1:34" ht="15.75">
      <c r="A32" s="115">
        <v>31</v>
      </c>
      <c r="B32" s="37">
        <f>'7. Forecast'!B32</f>
        <v>-1.1851689634086644</v>
      </c>
      <c r="C32" s="37">
        <f>'7. Forecast'!C32</f>
        <v>-3.914450956001942</v>
      </c>
      <c r="D32" s="37">
        <f t="shared" si="0"/>
        <v>2.7292819925932776</v>
      </c>
      <c r="N32" s="286"/>
      <c r="O32" s="287"/>
      <c r="P32" s="11"/>
      <c r="Q32" s="11"/>
      <c r="R32" s="11"/>
      <c r="S32" s="11"/>
      <c r="T32" s="11"/>
      <c r="U32" s="11"/>
      <c r="V32" s="11"/>
      <c r="W32" s="318"/>
      <c r="X32" s="11"/>
      <c r="Y32" s="284"/>
      <c r="AG32" s="285"/>
    </row>
    <row r="33" spans="1:34" ht="15.75">
      <c r="A33" s="115">
        <v>32</v>
      </c>
      <c r="B33" s="37">
        <f>'7. Forecast'!B33</f>
        <v>-2.8740675853640711</v>
      </c>
      <c r="C33" s="37">
        <f>'7. Forecast'!C33</f>
        <v>-0.36073710908759604</v>
      </c>
      <c r="D33" s="37">
        <f t="shared" si="0"/>
        <v>-2.513330476276475</v>
      </c>
      <c r="N33" s="286"/>
      <c r="O33" s="287"/>
      <c r="P33" s="11"/>
      <c r="Q33" s="11"/>
      <c r="R33" s="11"/>
      <c r="S33" s="11"/>
      <c r="T33" s="11"/>
      <c r="U33" s="11"/>
      <c r="V33" s="11"/>
      <c r="W33" s="318"/>
      <c r="X33" s="11"/>
      <c r="Y33" s="284"/>
      <c r="AG33" s="285"/>
    </row>
    <row r="34" spans="1:34" ht="15.75">
      <c r="A34" s="115">
        <v>33</v>
      </c>
      <c r="B34" s="37">
        <f>'7. Forecast'!B34</f>
        <v>-6.2496270341458739</v>
      </c>
      <c r="C34" s="37">
        <f>'7. Forecast'!C34</f>
        <v>-1.5366903606442972</v>
      </c>
      <c r="D34" s="37">
        <f t="shared" ref="D34:D51" si="4">B34-C34</f>
        <v>-4.7129366735015772</v>
      </c>
      <c r="N34" s="286"/>
      <c r="O34" s="287"/>
      <c r="P34" s="11"/>
      <c r="Q34" s="11"/>
      <c r="R34" s="11"/>
      <c r="S34" s="11"/>
      <c r="T34" s="11"/>
      <c r="U34" s="11"/>
      <c r="V34" s="11"/>
      <c r="W34" s="318"/>
      <c r="X34" s="11"/>
      <c r="Y34" s="284"/>
      <c r="AG34" s="285"/>
    </row>
    <row r="35" spans="1:34" ht="15.75">
      <c r="A35" s="115">
        <v>34</v>
      </c>
      <c r="B35" s="37">
        <f>'7. Forecast'!B35</f>
        <v>-1.2998508136584519</v>
      </c>
      <c r="C35" s="37">
        <f>'7. Forecast'!C35</f>
        <v>-3.9397669065371144</v>
      </c>
      <c r="D35" s="37">
        <f t="shared" si="4"/>
        <v>2.6399160928786625</v>
      </c>
      <c r="N35" s="286"/>
      <c r="O35" s="287"/>
      <c r="P35" s="11"/>
      <c r="Q35" s="11"/>
      <c r="R35" s="11"/>
      <c r="S35" s="11"/>
      <c r="T35" s="11"/>
      <c r="U35" s="11"/>
      <c r="V35" s="11"/>
      <c r="W35" s="318"/>
      <c r="X35" s="11"/>
      <c r="Y35" s="284"/>
      <c r="AG35" s="285"/>
    </row>
    <row r="36" spans="1:34" ht="15.75">
      <c r="A36" s="115">
        <v>35</v>
      </c>
      <c r="B36" s="37">
        <f>'7. Forecast'!B36</f>
        <v>-1.0199403254634252</v>
      </c>
      <c r="C36" s="37">
        <f>'7. Forecast'!C36</f>
        <v>-0.44228643459528705</v>
      </c>
      <c r="D36" s="37">
        <f t="shared" si="4"/>
        <v>-0.57765389086813812</v>
      </c>
      <c r="N36" s="286"/>
      <c r="O36" s="287"/>
      <c r="P36" s="11"/>
      <c r="Q36" s="11"/>
      <c r="R36" s="11"/>
      <c r="S36" s="11"/>
      <c r="T36" s="11"/>
      <c r="U36" s="11"/>
      <c r="V36" s="11"/>
      <c r="W36" s="318"/>
      <c r="X36" s="11"/>
      <c r="Y36" s="284"/>
      <c r="AG36" s="285"/>
    </row>
    <row r="37" spans="1:34" ht="15.75">
      <c r="A37" s="115">
        <v>36</v>
      </c>
      <c r="B37" s="37">
        <f>'7. Forecast'!B37</f>
        <v>-2.6079761301853921</v>
      </c>
      <c r="C37" s="37">
        <f>'7. Forecast'!C37</f>
        <v>-0.22136191630461144</v>
      </c>
      <c r="D37" s="37">
        <f t="shared" si="4"/>
        <v>-2.3866142138807804</v>
      </c>
      <c r="N37" s="286"/>
      <c r="O37" s="287"/>
      <c r="P37" s="11"/>
      <c r="Q37" s="11"/>
      <c r="R37" s="11"/>
      <c r="S37" s="11"/>
      <c r="T37" s="11"/>
      <c r="U37" s="11"/>
      <c r="V37" s="11"/>
      <c r="W37" s="318"/>
      <c r="X37" s="11"/>
      <c r="Y37" s="284"/>
      <c r="AG37" s="285"/>
    </row>
    <row r="38" spans="1:34" ht="15.75">
      <c r="A38" s="115">
        <v>37</v>
      </c>
      <c r="B38" s="37">
        <f>'7. Forecast'!B38</f>
        <v>2.0568095479258304</v>
      </c>
      <c r="C38" s="37">
        <f>'7. Forecast'!C38</f>
        <v>-1.3469613223554293</v>
      </c>
      <c r="D38" s="37">
        <f t="shared" si="4"/>
        <v>3.4037708702812597</v>
      </c>
      <c r="N38" s="286"/>
      <c r="O38" s="287"/>
      <c r="P38" s="11"/>
      <c r="Q38" s="11"/>
      <c r="R38" s="11"/>
      <c r="S38" s="11"/>
      <c r="T38" s="11"/>
      <c r="U38" s="11"/>
      <c r="V38" s="11"/>
      <c r="W38" s="318"/>
      <c r="X38" s="11"/>
      <c r="Y38" s="284"/>
      <c r="AC38" s="11"/>
      <c r="AG38" s="285"/>
    </row>
    <row r="39" spans="1:34" ht="15.75">
      <c r="A39" s="115">
        <v>38</v>
      </c>
      <c r="B39" s="37">
        <f>'7. Forecast'!B39</f>
        <v>2.2227238191703229</v>
      </c>
      <c r="C39" s="37">
        <f>'7. Forecast'!C39</f>
        <v>1.9564018553630111</v>
      </c>
      <c r="D39" s="37">
        <f t="shared" si="4"/>
        <v>0.26632196380731177</v>
      </c>
      <c r="N39" s="286"/>
      <c r="O39" s="287"/>
      <c r="P39" s="11"/>
      <c r="Q39" s="11"/>
      <c r="R39" s="11"/>
      <c r="S39" s="11"/>
      <c r="T39" s="11"/>
      <c r="U39" s="11"/>
      <c r="V39" s="11"/>
      <c r="W39" s="318"/>
      <c r="X39" s="11"/>
      <c r="Y39" s="284"/>
      <c r="AG39" s="285"/>
      <c r="AH39" s="11"/>
    </row>
    <row r="40" spans="1:34" ht="15.75">
      <c r="A40" s="115">
        <v>39</v>
      </c>
      <c r="B40" s="37">
        <f>'7. Forecast'!B40</f>
        <v>0.58908952766812117</v>
      </c>
      <c r="C40" s="37">
        <f>'7. Forecast'!C40</f>
        <v>2.095188509705264</v>
      </c>
      <c r="D40" s="37">
        <f t="shared" si="4"/>
        <v>-1.5060989820371429</v>
      </c>
      <c r="N40" s="286"/>
      <c r="O40" s="287"/>
      <c r="P40" s="11"/>
      <c r="Q40" s="11"/>
      <c r="R40" s="11"/>
      <c r="S40" s="11"/>
      <c r="T40" s="11"/>
      <c r="U40" s="11"/>
      <c r="V40" s="11"/>
      <c r="W40" s="318"/>
      <c r="X40" s="11"/>
      <c r="Y40" s="284"/>
      <c r="AC40" s="11"/>
      <c r="AG40" s="285"/>
    </row>
    <row r="41" spans="1:34" ht="15.75">
      <c r="A41" s="115">
        <v>40</v>
      </c>
      <c r="B41" s="37">
        <f>'7. Forecast'!B41</f>
        <v>5.2356358110672412</v>
      </c>
      <c r="C41" s="37">
        <f>'7. Forecast'!C41</f>
        <v>0.936705354522122</v>
      </c>
      <c r="D41" s="37">
        <f t="shared" si="4"/>
        <v>4.2989304565451194</v>
      </c>
      <c r="N41" s="286"/>
      <c r="O41" s="287"/>
      <c r="P41" s="11"/>
      <c r="Q41" s="11"/>
      <c r="R41" s="11"/>
      <c r="S41" s="11"/>
      <c r="T41" s="11"/>
      <c r="U41" s="11"/>
      <c r="V41" s="11"/>
      <c r="W41" s="318"/>
      <c r="X41" s="11"/>
      <c r="Y41" s="284"/>
      <c r="AG41" s="285"/>
    </row>
    <row r="42" spans="1:34" ht="15.75">
      <c r="A42" s="115">
        <v>41</v>
      </c>
      <c r="B42" s="37">
        <f>'7. Forecast'!B42</f>
        <v>1.3942543244268895</v>
      </c>
      <c r="C42" s="37">
        <f>'7. Forecast'!C42</f>
        <v>4.2269148504070362</v>
      </c>
      <c r="D42" s="37">
        <f t="shared" si="4"/>
        <v>-2.8326605259801467</v>
      </c>
      <c r="N42" s="286"/>
      <c r="O42" s="287"/>
      <c r="P42" s="11"/>
      <c r="Q42" s="11"/>
      <c r="R42" s="11"/>
      <c r="S42" s="11"/>
      <c r="T42" s="11"/>
      <c r="U42" s="11"/>
      <c r="V42" s="11"/>
      <c r="W42" s="318"/>
      <c r="X42" s="11"/>
      <c r="Y42" s="284"/>
      <c r="AG42" s="285"/>
    </row>
    <row r="43" spans="1:34" ht="15.75">
      <c r="A43" s="115">
        <v>42</v>
      </c>
      <c r="B43" s="37">
        <f>'7. Forecast'!B43</f>
        <v>2.1577017297707481</v>
      </c>
      <c r="C43" s="37">
        <f>'7. Forecast'!C43</f>
        <v>1.5216967073366514</v>
      </c>
      <c r="D43" s="37">
        <f t="shared" si="4"/>
        <v>0.63600502243409673</v>
      </c>
      <c r="N43" s="286"/>
      <c r="O43" s="287"/>
      <c r="P43" s="11"/>
      <c r="Q43" s="11"/>
      <c r="R43" s="11"/>
      <c r="S43" s="11"/>
      <c r="T43" s="11"/>
      <c r="U43" s="11"/>
      <c r="V43" s="11"/>
      <c r="W43" s="318"/>
      <c r="X43" s="11"/>
      <c r="Y43" s="284"/>
      <c r="AG43" s="285"/>
    </row>
    <row r="44" spans="1:34" ht="15.75">
      <c r="A44" s="115">
        <v>43</v>
      </c>
      <c r="B44" s="37">
        <f>'7. Forecast'!B44</f>
        <v>6.763080691908292</v>
      </c>
      <c r="C44" s="37">
        <f>'7. Forecast'!C44</f>
        <v>2.0462745477496274</v>
      </c>
      <c r="D44" s="37">
        <f t="shared" si="4"/>
        <v>4.7168061441586646</v>
      </c>
      <c r="N44" s="286"/>
      <c r="R44" s="11"/>
      <c r="S44" s="11"/>
      <c r="T44" s="11"/>
      <c r="U44" s="11"/>
      <c r="V44" s="11"/>
      <c r="W44" s="318"/>
      <c r="X44" s="11"/>
      <c r="Y44" s="284"/>
      <c r="AA44" s="11"/>
      <c r="AG44" s="285"/>
    </row>
    <row r="45" spans="1:34" ht="15.75">
      <c r="A45" s="115">
        <v>44</v>
      </c>
      <c r="B45" s="37">
        <f>'7. Forecast'!B45</f>
        <v>4.905232276763309</v>
      </c>
      <c r="C45" s="37">
        <f>'7. Forecast'!C45</f>
        <v>5.3179878629354738</v>
      </c>
      <c r="D45" s="37">
        <f t="shared" si="4"/>
        <v>-0.41275558617216479</v>
      </c>
      <c r="N45" s="286"/>
      <c r="R45" s="11"/>
      <c r="S45" s="11"/>
      <c r="T45" s="11"/>
      <c r="U45" s="11"/>
      <c r="V45" s="11"/>
      <c r="W45" s="318"/>
      <c r="X45" s="11"/>
      <c r="Y45" s="284"/>
      <c r="AA45" s="11"/>
      <c r="AG45" s="285"/>
    </row>
    <row r="46" spans="1:34" ht="15.75">
      <c r="A46" s="115">
        <v>45</v>
      </c>
      <c r="B46" s="37">
        <f>'7. Forecast'!B46</f>
        <v>1.4620929107053158</v>
      </c>
      <c r="C46" s="37">
        <f>'7. Forecast'!C46</f>
        <v>4.0203372306620437</v>
      </c>
      <c r="D46" s="37">
        <f t="shared" si="4"/>
        <v>-2.558244319956728</v>
      </c>
      <c r="N46" s="286"/>
      <c r="R46" s="11"/>
      <c r="S46" s="11"/>
      <c r="T46" s="11"/>
      <c r="U46" s="11"/>
      <c r="V46" s="11"/>
      <c r="W46" s="318"/>
      <c r="AG46" s="285"/>
    </row>
    <row r="47" spans="1:34" ht="15.75">
      <c r="A47" s="115">
        <v>46</v>
      </c>
      <c r="B47" s="37">
        <f>'7. Forecast'!B47</f>
        <v>-1.6151628357178818</v>
      </c>
      <c r="C47" s="37">
        <f>'7. Forecast'!C47</f>
        <v>1.5685250650002045</v>
      </c>
      <c r="D47" s="37">
        <f t="shared" si="4"/>
        <v>-3.1836879007180863</v>
      </c>
      <c r="N47" s="286"/>
      <c r="R47" s="11"/>
      <c r="S47" s="11"/>
      <c r="T47" s="11"/>
      <c r="U47" s="11"/>
      <c r="V47" s="11"/>
      <c r="W47" s="318"/>
      <c r="AG47" s="285"/>
    </row>
    <row r="48" spans="1:34" ht="15.75">
      <c r="A48" s="115">
        <v>47</v>
      </c>
      <c r="B48" s="37">
        <f>'7. Forecast'!B48</f>
        <v>-4.5460651342871614</v>
      </c>
      <c r="C48" s="37">
        <f>'7. Forecast'!C48</f>
        <v>-0.63097571892768534</v>
      </c>
      <c r="D48" s="37">
        <f t="shared" si="4"/>
        <v>-3.9150894153594762</v>
      </c>
      <c r="N48" s="286"/>
      <c r="R48" s="11"/>
      <c r="S48" s="11"/>
      <c r="T48" s="11"/>
      <c r="U48" s="11"/>
      <c r="V48" s="11"/>
      <c r="W48" s="318"/>
      <c r="AG48" s="285"/>
    </row>
    <row r="49" spans="1:33" ht="15.75">
      <c r="A49" s="115">
        <v>48</v>
      </c>
      <c r="B49" s="37">
        <f>'7. Forecast'!B49</f>
        <v>-1.4184260537148732</v>
      </c>
      <c r="C49" s="37">
        <f>'7. Forecast'!C49</f>
        <v>-2.7250045231843685</v>
      </c>
      <c r="D49" s="37">
        <f t="shared" si="4"/>
        <v>1.3065784694694953</v>
      </c>
      <c r="N49" s="286"/>
      <c r="O49" s="287"/>
      <c r="P49" s="11"/>
      <c r="Q49" s="11"/>
      <c r="R49" s="11"/>
      <c r="S49" s="11"/>
      <c r="T49" s="11"/>
      <c r="U49" s="11"/>
      <c r="V49" s="11"/>
      <c r="W49" s="318"/>
      <c r="AG49" s="285"/>
    </row>
    <row r="50" spans="1:33" ht="15.75">
      <c r="A50" s="115">
        <v>49</v>
      </c>
      <c r="B50" s="37">
        <f>'7. Forecast'!B50</f>
        <v>1.1326295785140421</v>
      </c>
      <c r="C50" s="37">
        <f>'7. Forecast'!C50</f>
        <v>-0.51870058700659294</v>
      </c>
      <c r="D50" s="37">
        <f t="shared" si="4"/>
        <v>1.6513301655206352</v>
      </c>
      <c r="N50" s="286"/>
      <c r="O50" s="287"/>
      <c r="P50" s="11"/>
      <c r="Q50" s="11"/>
      <c r="R50" s="11"/>
      <c r="S50" s="11"/>
      <c r="T50" s="11"/>
      <c r="U50" s="11"/>
      <c r="V50" s="11"/>
      <c r="W50" s="318"/>
      <c r="AG50" s="285"/>
    </row>
    <row r="51" spans="1:33">
      <c r="A51" s="296">
        <v>50</v>
      </c>
      <c r="B51" s="37">
        <f>'7. Forecast'!B51</f>
        <v>2.0099999999999998</v>
      </c>
      <c r="C51" s="37">
        <f>'7. Forecast'!C51</f>
        <v>1.3057997506030827</v>
      </c>
      <c r="D51" s="37">
        <f t="shared" si="4"/>
        <v>0.70420024939691706</v>
      </c>
      <c r="I51" s="37"/>
      <c r="J51" s="37"/>
    </row>
    <row r="52" spans="1:33" ht="17.25">
      <c r="A52" s="159">
        <v>51</v>
      </c>
      <c r="B52" s="37"/>
      <c r="C52" s="37">
        <f>'7. Forecast'!C52</f>
        <v>1.4403167016872571</v>
      </c>
      <c r="E52" s="116">
        <f t="shared" ref="E52:E61" si="5">C52-$K$55*SQRT(($N$21*(1+AB4)))</f>
        <v>-6.7922558987679356</v>
      </c>
      <c r="F52" s="116">
        <f t="shared" ref="F52:F61" si="6">C52+$K$55*SQRT(($N$21*(1+AB4)))</f>
        <v>9.6728893021424494</v>
      </c>
      <c r="G52" s="123">
        <v>1</v>
      </c>
      <c r="I52" s="116"/>
      <c r="J52" s="287" t="s">
        <v>396</v>
      </c>
      <c r="K52" s="11" t="s">
        <v>397</v>
      </c>
      <c r="L52" s="11"/>
    </row>
    <row r="53" spans="1:33" ht="15.75">
      <c r="A53" s="159">
        <v>52</v>
      </c>
      <c r="B53" s="37"/>
      <c r="C53" s="37">
        <f>'7. Forecast'!C53</f>
        <v>1.5366382357990571</v>
      </c>
      <c r="E53" s="116">
        <f t="shared" si="5"/>
        <v>-6.9939365083041167</v>
      </c>
      <c r="F53" s="116">
        <f t="shared" si="6"/>
        <v>10.06721297990223</v>
      </c>
      <c r="G53" s="123">
        <v>2</v>
      </c>
      <c r="I53" s="37"/>
      <c r="J53" s="320">
        <v>0.99</v>
      </c>
      <c r="K53" s="11">
        <v>2.5760000000000001</v>
      </c>
      <c r="L53" s="11"/>
    </row>
    <row r="54" spans="1:33" ht="15.75">
      <c r="A54" s="159">
        <v>53</v>
      </c>
      <c r="B54" s="37"/>
      <c r="C54" s="37">
        <f>'7. Forecast'!C54</f>
        <v>1.6056097509789171</v>
      </c>
      <c r="E54" s="116">
        <f t="shared" si="5"/>
        <v>-7.0737939288909892</v>
      </c>
      <c r="F54" s="116">
        <f t="shared" si="6"/>
        <v>10.285013430848824</v>
      </c>
      <c r="G54" s="123">
        <v>3</v>
      </c>
      <c r="I54" s="37"/>
      <c r="J54" s="320">
        <v>0.95</v>
      </c>
      <c r="K54" s="11">
        <v>1.96</v>
      </c>
      <c r="L54" s="11"/>
    </row>
    <row r="55" spans="1:33" ht="15.75">
      <c r="A55" s="159">
        <v>54</v>
      </c>
      <c r="B55" s="37"/>
      <c r="C55" s="37">
        <f>'7. Forecast'!C55</f>
        <v>1.6549971486161281</v>
      </c>
      <c r="E55" s="116">
        <f t="shared" si="5"/>
        <v>-7.099735153557762</v>
      </c>
      <c r="F55" s="116">
        <f t="shared" si="6"/>
        <v>10.409729450790017</v>
      </c>
      <c r="G55" s="123">
        <v>4</v>
      </c>
      <c r="I55" s="37"/>
      <c r="J55" s="320">
        <v>0.9</v>
      </c>
      <c r="K55" s="11">
        <v>1.645</v>
      </c>
      <c r="L55" s="11"/>
    </row>
    <row r="56" spans="1:33" ht="15.75">
      <c r="A56" s="159">
        <v>55</v>
      </c>
      <c r="B56" s="37"/>
      <c r="C56" s="37">
        <f>'7. Forecast'!C56</f>
        <v>1.6903612411551339</v>
      </c>
      <c r="E56" s="116">
        <f t="shared" si="5"/>
        <v>-7.1027444000133872</v>
      </c>
      <c r="F56" s="116">
        <f t="shared" si="6"/>
        <v>10.483466882323656</v>
      </c>
      <c r="G56" s="123">
        <v>5</v>
      </c>
      <c r="I56" s="37"/>
      <c r="J56" s="320">
        <v>0.68</v>
      </c>
      <c r="K56" s="11">
        <v>0.99399999999999999</v>
      </c>
      <c r="L56" s="11"/>
    </row>
    <row r="57" spans="1:33">
      <c r="A57" s="159">
        <v>56</v>
      </c>
      <c r="B57" s="37"/>
      <c r="C57" s="37">
        <f>'7. Forecast'!C57</f>
        <v>1.7156838760972324</v>
      </c>
      <c r="E57" s="116">
        <f t="shared" si="5"/>
        <v>-7.0970323096660799</v>
      </c>
      <c r="F57" s="116">
        <f t="shared" si="6"/>
        <v>10.528400061860545</v>
      </c>
      <c r="G57" s="123">
        <v>6</v>
      </c>
      <c r="I57" s="37"/>
      <c r="J57" s="116"/>
    </row>
    <row r="58" spans="1:33">
      <c r="A58" s="159">
        <v>57</v>
      </c>
      <c r="B58" s="37"/>
      <c r="C58" s="37">
        <f>'7. Forecast'!C58</f>
        <v>1.7338162752165802</v>
      </c>
      <c r="E58" s="116">
        <f t="shared" si="5"/>
        <v>-7.0889380137926432</v>
      </c>
      <c r="F58" s="116">
        <f t="shared" si="6"/>
        <v>10.556570564225805</v>
      </c>
      <c r="G58" s="123">
        <v>7</v>
      </c>
      <c r="I58" s="37"/>
      <c r="J58" s="37"/>
    </row>
    <row r="59" spans="1:33">
      <c r="A59" s="159">
        <v>58</v>
      </c>
      <c r="B59" s="37"/>
      <c r="C59" s="37">
        <f>'7. Forecast'!C59</f>
        <v>1.7468000700931836</v>
      </c>
      <c r="E59" s="116">
        <f t="shared" si="5"/>
        <v>-7.081096676654008</v>
      </c>
      <c r="F59" s="116">
        <f t="shared" si="6"/>
        <v>10.574696816840374</v>
      </c>
      <c r="G59" s="123">
        <v>8</v>
      </c>
      <c r="I59" s="37"/>
      <c r="J59" s="37"/>
    </row>
    <row r="60" spans="1:33">
      <c r="A60" s="159">
        <v>59</v>
      </c>
      <c r="B60" s="37"/>
      <c r="C60" s="37">
        <f>'7. Forecast'!C60</f>
        <v>1.7560971812083825</v>
      </c>
      <c r="E60" s="116">
        <f t="shared" si="5"/>
        <v>-7.0744351209220895</v>
      </c>
      <c r="F60" s="116">
        <f t="shared" si="6"/>
        <v>10.586629483338854</v>
      </c>
      <c r="G60" s="123">
        <v>9</v>
      </c>
      <c r="I60" s="37"/>
      <c r="J60" s="37"/>
    </row>
    <row r="61" spans="1:33">
      <c r="A61" s="159">
        <v>60</v>
      </c>
      <c r="B61" s="37"/>
      <c r="C61" s="37">
        <f>'7. Forecast'!C61</f>
        <v>1.7627544240183499</v>
      </c>
      <c r="E61" s="116">
        <f t="shared" si="5"/>
        <v>-7.0691289139289193</v>
      </c>
      <c r="F61" s="116">
        <f t="shared" si="6"/>
        <v>10.59463776196562</v>
      </c>
      <c r="G61" s="123">
        <v>10</v>
      </c>
      <c r="I61" s="37"/>
      <c r="J61" s="37"/>
    </row>
    <row r="62" spans="1:33" ht="15.75">
      <c r="A62" s="115"/>
      <c r="B62" s="37"/>
      <c r="F62" s="157"/>
      <c r="J62" s="37"/>
    </row>
    <row r="63" spans="1:33">
      <c r="A63" s="115"/>
      <c r="B63" s="37"/>
      <c r="J63" s="37"/>
    </row>
    <row r="64" spans="1:33">
      <c r="A64" s="115"/>
      <c r="B64" s="37"/>
      <c r="J64" s="37"/>
    </row>
    <row r="65" spans="1:10">
      <c r="A65" s="115"/>
      <c r="B65" s="37"/>
      <c r="J65" s="37"/>
    </row>
    <row r="66" spans="1:10">
      <c r="A66" s="115"/>
      <c r="B66" s="37"/>
      <c r="J66" s="37"/>
    </row>
    <row r="67" spans="1:10">
      <c r="A67" s="115"/>
      <c r="B67" s="37"/>
    </row>
    <row r="68" spans="1:10">
      <c r="A68" s="115"/>
      <c r="B68" s="37"/>
    </row>
    <row r="69" spans="1:10">
      <c r="A69" s="115"/>
      <c r="B69" s="37"/>
    </row>
    <row r="70" spans="1:10">
      <c r="A70" s="115"/>
      <c r="B70" s="37"/>
    </row>
    <row r="71" spans="1:10">
      <c r="A71" s="115"/>
      <c r="B71" s="37"/>
    </row>
    <row r="72" spans="1:10">
      <c r="A72" s="115"/>
      <c r="B72" s="37"/>
    </row>
    <row r="73" spans="1:10">
      <c r="A73" s="115"/>
      <c r="B73" s="37"/>
    </row>
    <row r="74" spans="1:10">
      <c r="A74" s="115"/>
      <c r="B74" s="37"/>
    </row>
    <row r="75" spans="1:10">
      <c r="A75" s="115"/>
      <c r="B75" s="37"/>
    </row>
    <row r="76" spans="1:10">
      <c r="A76" s="115"/>
      <c r="B76" s="37"/>
    </row>
    <row r="77" spans="1:10">
      <c r="A77" s="115"/>
      <c r="B77" s="37"/>
    </row>
    <row r="78" spans="1:10">
      <c r="A78" s="115"/>
      <c r="B78" s="37"/>
    </row>
    <row r="79" spans="1:10">
      <c r="A79" s="115"/>
      <c r="B79" s="37"/>
    </row>
    <row r="80" spans="1:10">
      <c r="A80" s="115"/>
      <c r="B80" s="37"/>
    </row>
    <row r="81" spans="1:2">
      <c r="A81" s="115"/>
      <c r="B81" s="37"/>
    </row>
    <row r="82" spans="1:2">
      <c r="A82" s="115"/>
      <c r="B82" s="37"/>
    </row>
    <row r="83" spans="1:2">
      <c r="A83" s="115"/>
      <c r="B83" s="37"/>
    </row>
    <row r="84" spans="1:2">
      <c r="A84" s="115"/>
      <c r="B84" s="37"/>
    </row>
    <row r="85" spans="1:2">
      <c r="A85" s="115"/>
      <c r="B85" s="37"/>
    </row>
    <row r="86" spans="1:2">
      <c r="A86" s="115"/>
      <c r="B86" s="37"/>
    </row>
    <row r="87" spans="1:2">
      <c r="A87" s="115"/>
      <c r="B87" s="37"/>
    </row>
    <row r="88" spans="1:2">
      <c r="A88" s="115"/>
      <c r="B88" s="37"/>
    </row>
    <row r="89" spans="1:2">
      <c r="A89" s="115"/>
      <c r="B89" s="37"/>
    </row>
    <row r="90" spans="1:2">
      <c r="A90" s="115"/>
      <c r="B90" s="37"/>
    </row>
    <row r="91" spans="1:2">
      <c r="A91" s="115"/>
      <c r="B91" s="37"/>
    </row>
    <row r="92" spans="1:2">
      <c r="A92" s="115"/>
      <c r="B92" s="37"/>
    </row>
    <row r="93" spans="1:2">
      <c r="A93" s="115"/>
      <c r="B93" s="37"/>
    </row>
    <row r="94" spans="1:2">
      <c r="A94" s="115"/>
      <c r="B94" s="37"/>
    </row>
    <row r="95" spans="1:2">
      <c r="A95" s="115"/>
      <c r="B95" s="37"/>
    </row>
    <row r="96" spans="1:2">
      <c r="A96" s="115"/>
      <c r="B96" s="37"/>
    </row>
    <row r="97" spans="1:2">
      <c r="A97" s="115"/>
      <c r="B97" s="37"/>
    </row>
    <row r="98" spans="1:2">
      <c r="A98" s="115"/>
      <c r="B98" s="37"/>
    </row>
    <row r="99" spans="1:2">
      <c r="A99" s="115"/>
      <c r="B99" s="37"/>
    </row>
    <row r="100" spans="1:2">
      <c r="A100" s="115"/>
      <c r="B100" s="37"/>
    </row>
    <row r="101" spans="1:2">
      <c r="A101" s="115"/>
      <c r="B101" s="37"/>
    </row>
    <row r="102" spans="1:2">
      <c r="A102" s="115"/>
      <c r="B102" s="37"/>
    </row>
    <row r="103" spans="1:2">
      <c r="A103" s="115"/>
      <c r="B103" s="37"/>
    </row>
    <row r="104" spans="1:2">
      <c r="A104" s="115"/>
      <c r="B104" s="37"/>
    </row>
    <row r="105" spans="1:2">
      <c r="A105" s="115"/>
      <c r="B105" s="37"/>
    </row>
    <row r="106" spans="1:2">
      <c r="A106" s="115"/>
      <c r="B106" s="37"/>
    </row>
    <row r="107" spans="1:2">
      <c r="A107" s="115"/>
      <c r="B107" s="37"/>
    </row>
    <row r="108" spans="1:2">
      <c r="A108" s="115"/>
      <c r="B108" s="37"/>
    </row>
    <row r="109" spans="1:2">
      <c r="A109" s="115"/>
      <c r="B109" s="37"/>
    </row>
    <row r="110" spans="1:2">
      <c r="A110" s="115"/>
      <c r="B110" s="37"/>
    </row>
    <row r="111" spans="1:2">
      <c r="A111" s="115"/>
      <c r="B111" s="37"/>
    </row>
    <row r="112" spans="1:2">
      <c r="A112" s="115"/>
      <c r="B112" s="37"/>
    </row>
    <row r="113" spans="1:2">
      <c r="A113" s="115"/>
      <c r="B113" s="37"/>
    </row>
    <row r="114" spans="1:2">
      <c r="A114" s="115"/>
      <c r="B114" s="37"/>
    </row>
    <row r="115" spans="1:2">
      <c r="A115" s="115"/>
      <c r="B115" s="37"/>
    </row>
    <row r="116" spans="1:2">
      <c r="A116" s="115"/>
      <c r="B116" s="37"/>
    </row>
    <row r="117" spans="1:2">
      <c r="A117" s="115"/>
      <c r="B117" s="37"/>
    </row>
    <row r="118" spans="1:2">
      <c r="A118" s="115"/>
      <c r="B118" s="37"/>
    </row>
    <row r="119" spans="1:2">
      <c r="A119" s="115"/>
      <c r="B119" s="37"/>
    </row>
    <row r="120" spans="1:2">
      <c r="A120" s="115"/>
      <c r="B120" s="37"/>
    </row>
    <row r="121" spans="1:2">
      <c r="A121" s="115"/>
      <c r="B121" s="37"/>
    </row>
    <row r="122" spans="1:2">
      <c r="A122" s="115"/>
      <c r="B122" s="37"/>
    </row>
    <row r="123" spans="1:2">
      <c r="A123" s="115"/>
      <c r="B123" s="37"/>
    </row>
    <row r="124" spans="1:2">
      <c r="A124" s="115"/>
      <c r="B124" s="37"/>
    </row>
    <row r="125" spans="1:2">
      <c r="A125" s="115"/>
      <c r="B125" s="37"/>
    </row>
    <row r="126" spans="1:2">
      <c r="A126" s="115"/>
      <c r="B126" s="37"/>
    </row>
    <row r="127" spans="1:2">
      <c r="A127" s="115"/>
      <c r="B127" s="37"/>
    </row>
    <row r="128" spans="1:2">
      <c r="A128" s="115"/>
      <c r="B128" s="37"/>
    </row>
    <row r="129" spans="1:2">
      <c r="A129" s="115"/>
      <c r="B129" s="37"/>
    </row>
    <row r="130" spans="1:2">
      <c r="A130" s="115"/>
      <c r="B130" s="37"/>
    </row>
    <row r="131" spans="1:2">
      <c r="A131" s="115"/>
      <c r="B131" s="37"/>
    </row>
    <row r="132" spans="1:2">
      <c r="A132" s="115"/>
      <c r="B132" s="37"/>
    </row>
    <row r="133" spans="1:2">
      <c r="A133" s="115"/>
      <c r="B133" s="37"/>
    </row>
    <row r="134" spans="1:2">
      <c r="A134" s="115"/>
      <c r="B134" s="37"/>
    </row>
    <row r="135" spans="1:2">
      <c r="A135" s="115"/>
      <c r="B135" s="37"/>
    </row>
    <row r="136" spans="1:2">
      <c r="A136" s="115"/>
      <c r="B136" s="37"/>
    </row>
    <row r="137" spans="1:2">
      <c r="A137" s="115"/>
      <c r="B137" s="37"/>
    </row>
    <row r="138" spans="1:2">
      <c r="A138" s="115"/>
      <c r="B138" s="37"/>
    </row>
    <row r="139" spans="1:2">
      <c r="A139" s="115"/>
      <c r="B139" s="37"/>
    </row>
    <row r="140" spans="1:2">
      <c r="A140" s="115"/>
      <c r="B140" s="37"/>
    </row>
    <row r="141" spans="1:2">
      <c r="A141" s="115"/>
      <c r="B141" s="37"/>
    </row>
    <row r="142" spans="1:2">
      <c r="A142" s="115"/>
      <c r="B142" s="37"/>
    </row>
    <row r="143" spans="1:2">
      <c r="A143" s="115"/>
      <c r="B143" s="37"/>
    </row>
    <row r="144" spans="1:2">
      <c r="A144" s="115"/>
      <c r="B144" s="37"/>
    </row>
    <row r="145" spans="1:2">
      <c r="A145" s="115"/>
      <c r="B145" s="37"/>
    </row>
    <row r="146" spans="1:2">
      <c r="A146" s="115"/>
      <c r="B146" s="37"/>
    </row>
    <row r="147" spans="1:2">
      <c r="A147" s="115"/>
      <c r="B147" s="37"/>
    </row>
    <row r="148" spans="1:2">
      <c r="A148" s="115"/>
      <c r="B148" s="37"/>
    </row>
    <row r="149" spans="1:2">
      <c r="A149" s="115"/>
      <c r="B149" s="37"/>
    </row>
    <row r="150" spans="1:2">
      <c r="A150" s="115"/>
      <c r="B150" s="37"/>
    </row>
    <row r="151" spans="1:2">
      <c r="A151" s="115"/>
      <c r="B151" s="37"/>
    </row>
    <row r="152" spans="1:2">
      <c r="A152" s="115"/>
      <c r="B152" s="37"/>
    </row>
    <row r="153" spans="1:2">
      <c r="A153" s="115"/>
      <c r="B153" s="37"/>
    </row>
    <row r="154" spans="1:2">
      <c r="A154" s="115"/>
      <c r="B154" s="37"/>
    </row>
    <row r="155" spans="1:2">
      <c r="A155" s="115"/>
      <c r="B155" s="37"/>
    </row>
    <row r="156" spans="1:2">
      <c r="A156" s="115"/>
      <c r="B156" s="37"/>
    </row>
    <row r="157" spans="1:2">
      <c r="A157" s="115"/>
      <c r="B157" s="37"/>
    </row>
    <row r="158" spans="1:2">
      <c r="A158" s="115"/>
      <c r="B158" s="37"/>
    </row>
    <row r="159" spans="1:2">
      <c r="A159" s="115"/>
      <c r="B159" s="37"/>
    </row>
    <row r="160" spans="1:2">
      <c r="A160" s="115"/>
      <c r="B160" s="37"/>
    </row>
    <row r="161" spans="1:2">
      <c r="A161" s="115"/>
      <c r="B161" s="37"/>
    </row>
    <row r="162" spans="1:2">
      <c r="A162" s="115"/>
      <c r="B162" s="37"/>
    </row>
    <row r="163" spans="1:2">
      <c r="A163" s="115"/>
      <c r="B163" s="37"/>
    </row>
    <row r="164" spans="1:2">
      <c r="A164" s="115"/>
      <c r="B164" s="37"/>
    </row>
    <row r="165" spans="1:2">
      <c r="A165" s="115"/>
      <c r="B165" s="37"/>
    </row>
    <row r="166" spans="1:2">
      <c r="A166" s="115"/>
      <c r="B166" s="37"/>
    </row>
    <row r="167" spans="1:2">
      <c r="A167" s="115"/>
      <c r="B167" s="37"/>
    </row>
    <row r="168" spans="1:2">
      <c r="A168" s="115"/>
      <c r="B168" s="37"/>
    </row>
    <row r="169" spans="1:2">
      <c r="A169" s="115"/>
      <c r="B169" s="37"/>
    </row>
    <row r="170" spans="1:2">
      <c r="A170" s="115"/>
      <c r="B170" s="37"/>
    </row>
    <row r="171" spans="1:2">
      <c r="A171" s="115"/>
      <c r="B171" s="37"/>
    </row>
    <row r="172" spans="1:2">
      <c r="A172" s="115"/>
      <c r="B172" s="37"/>
    </row>
    <row r="173" spans="1:2">
      <c r="A173" s="115"/>
      <c r="B173" s="37"/>
    </row>
    <row r="174" spans="1:2">
      <c r="A174" s="115"/>
      <c r="B174" s="37"/>
    </row>
    <row r="175" spans="1:2">
      <c r="A175" s="115"/>
      <c r="B175" s="37"/>
    </row>
    <row r="176" spans="1:2">
      <c r="A176" s="115"/>
      <c r="B176" s="37"/>
    </row>
    <row r="177" spans="1:2">
      <c r="A177" s="115"/>
      <c r="B177" s="37"/>
    </row>
    <row r="178" spans="1:2">
      <c r="A178" s="115"/>
      <c r="B178" s="37"/>
    </row>
    <row r="179" spans="1:2">
      <c r="A179" s="115"/>
      <c r="B179" s="37"/>
    </row>
    <row r="180" spans="1:2">
      <c r="A180" s="115"/>
      <c r="B180" s="37"/>
    </row>
    <row r="181" spans="1:2">
      <c r="A181" s="115"/>
      <c r="B181" s="37"/>
    </row>
    <row r="182" spans="1:2">
      <c r="A182" s="115"/>
      <c r="B182" s="37"/>
    </row>
    <row r="183" spans="1:2">
      <c r="A183" s="115"/>
      <c r="B183" s="37"/>
    </row>
    <row r="184" spans="1:2">
      <c r="A184" s="115"/>
      <c r="B184" s="37"/>
    </row>
    <row r="185" spans="1:2">
      <c r="A185" s="115"/>
      <c r="B185" s="37"/>
    </row>
    <row r="186" spans="1:2">
      <c r="A186" s="115"/>
      <c r="B186" s="37"/>
    </row>
    <row r="187" spans="1:2">
      <c r="A187" s="115"/>
      <c r="B187" s="37"/>
    </row>
    <row r="188" spans="1:2">
      <c r="A188" s="115"/>
      <c r="B188" s="37"/>
    </row>
    <row r="189" spans="1:2">
      <c r="A189" s="115"/>
      <c r="B189" s="37"/>
    </row>
    <row r="190" spans="1:2">
      <c r="A190" s="115"/>
      <c r="B190" s="37"/>
    </row>
    <row r="191" spans="1:2">
      <c r="A191" s="115"/>
      <c r="B191" s="37"/>
    </row>
    <row r="192" spans="1:2">
      <c r="A192" s="115"/>
    </row>
    <row r="193" spans="1:1">
      <c r="A193" s="115"/>
    </row>
    <row r="194" spans="1:1">
      <c r="A194" s="115"/>
    </row>
    <row r="195" spans="1:1">
      <c r="A195" s="115"/>
    </row>
    <row r="196" spans="1:1">
      <c r="A196" s="115"/>
    </row>
    <row r="197" spans="1:1">
      <c r="A197" s="115"/>
    </row>
    <row r="198" spans="1:1">
      <c r="A198" s="115"/>
    </row>
    <row r="199" spans="1:1">
      <c r="A199" s="115"/>
    </row>
    <row r="200" spans="1:1">
      <c r="A200" s="115"/>
    </row>
    <row r="201" spans="1:1">
      <c r="A201" s="115"/>
    </row>
    <row r="202" spans="1:1">
      <c r="A202" s="115"/>
    </row>
    <row r="203" spans="1:1">
      <c r="A203" s="115"/>
    </row>
    <row r="204" spans="1:1">
      <c r="A204" s="115"/>
    </row>
    <row r="205" spans="1:1">
      <c r="A205" s="115"/>
    </row>
    <row r="206" spans="1:1">
      <c r="A206" s="115"/>
    </row>
    <row r="207" spans="1:1">
      <c r="A207" s="115"/>
    </row>
    <row r="208" spans="1:1">
      <c r="A208" s="115"/>
    </row>
    <row r="209" spans="1:1">
      <c r="A209" s="115"/>
    </row>
    <row r="210" spans="1:1">
      <c r="A210" s="115"/>
    </row>
    <row r="211" spans="1:1">
      <c r="A211" s="115"/>
    </row>
    <row r="212" spans="1:1">
      <c r="A212" s="115"/>
    </row>
    <row r="213" spans="1:1">
      <c r="A213" s="115"/>
    </row>
    <row r="214" spans="1:1">
      <c r="A214" s="115"/>
    </row>
    <row r="215" spans="1:1">
      <c r="A215" s="115"/>
    </row>
    <row r="216" spans="1:1">
      <c r="A216" s="115"/>
    </row>
    <row r="217" spans="1:1">
      <c r="A217" s="115"/>
    </row>
    <row r="218" spans="1:1">
      <c r="A218" s="115"/>
    </row>
    <row r="219" spans="1:1">
      <c r="A219" s="115"/>
    </row>
    <row r="220" spans="1:1">
      <c r="A220" s="115"/>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53"/>
  <sheetViews>
    <sheetView zoomScale="80" zoomScaleNormal="80" workbookViewId="0">
      <selection activeCell="E3" sqref="E3"/>
    </sheetView>
  </sheetViews>
  <sheetFormatPr defaultRowHeight="15"/>
  <cols>
    <col min="1" max="1" width="7.28515625" customWidth="1"/>
    <col min="5" max="5" width="10.85546875" customWidth="1"/>
    <col min="9" max="9" width="4.42578125" customWidth="1"/>
    <col min="14" max="14" width="6.28515625" customWidth="1"/>
    <col min="15" max="15" width="10.5703125" customWidth="1"/>
    <col min="16" max="16" width="6" customWidth="1"/>
    <col min="17" max="17" width="8.85546875" customWidth="1"/>
    <col min="20" max="20" width="10.85546875" customWidth="1"/>
    <col min="24" max="25" width="5.7109375" customWidth="1"/>
    <col min="26" max="26" width="10.7109375" customWidth="1"/>
  </cols>
  <sheetData>
    <row r="1" spans="1:53" ht="18">
      <c r="A1" s="57" t="s">
        <v>133</v>
      </c>
      <c r="B1" s="56" t="s">
        <v>132</v>
      </c>
      <c r="C1" s="56" t="s">
        <v>127</v>
      </c>
      <c r="D1" s="56" t="s">
        <v>131</v>
      </c>
      <c r="E1" s="67" t="s">
        <v>130</v>
      </c>
      <c r="F1" s="75" t="s">
        <v>122</v>
      </c>
      <c r="G1" s="75" t="s">
        <v>121</v>
      </c>
      <c r="H1" s="55" t="s">
        <v>123</v>
      </c>
      <c r="I1" s="55"/>
      <c r="J1" s="67" t="s">
        <v>125</v>
      </c>
      <c r="K1" s="75" t="s">
        <v>122</v>
      </c>
      <c r="L1" s="75" t="s">
        <v>121</v>
      </c>
      <c r="M1" s="55" t="s">
        <v>123</v>
      </c>
      <c r="N1" s="54"/>
      <c r="O1" s="54" t="s">
        <v>129</v>
      </c>
      <c r="P1" s="54"/>
      <c r="Q1" s="56" t="s">
        <v>128</v>
      </c>
      <c r="R1" s="56" t="s">
        <v>127</v>
      </c>
      <c r="S1" s="56" t="s">
        <v>131</v>
      </c>
      <c r="T1" s="64" t="s">
        <v>126</v>
      </c>
      <c r="U1" s="72" t="s">
        <v>122</v>
      </c>
      <c r="V1" s="72" t="s">
        <v>121</v>
      </c>
      <c r="W1" s="55" t="s">
        <v>123</v>
      </c>
      <c r="Y1" s="49"/>
      <c r="Z1" s="64" t="s">
        <v>124</v>
      </c>
      <c r="AA1" s="72" t="s">
        <v>122</v>
      </c>
      <c r="AB1" s="72" t="s">
        <v>121</v>
      </c>
      <c r="AC1" s="55" t="s">
        <v>123</v>
      </c>
      <c r="AE1" s="47" t="s">
        <v>120</v>
      </c>
      <c r="AF1" s="47" t="s">
        <v>119</v>
      </c>
      <c r="AG1" s="47" t="s">
        <v>118</v>
      </c>
      <c r="AH1" s="47" t="s">
        <v>117</v>
      </c>
      <c r="AI1" s="47" t="s">
        <v>116</v>
      </c>
      <c r="AJ1" s="47" t="s">
        <v>115</v>
      </c>
      <c r="AK1" s="47" t="s">
        <v>114</v>
      </c>
      <c r="AL1" s="47" t="s">
        <v>113</v>
      </c>
      <c r="AM1" s="47" t="s">
        <v>112</v>
      </c>
      <c r="AN1" s="47" t="s">
        <v>111</v>
      </c>
      <c r="AO1" s="47" t="s">
        <v>110</v>
      </c>
      <c r="AP1" s="47" t="s">
        <v>109</v>
      </c>
      <c r="AQ1" s="47" t="s">
        <v>108</v>
      </c>
      <c r="AR1" s="47" t="s">
        <v>107</v>
      </c>
      <c r="AS1" s="47" t="s">
        <v>106</v>
      </c>
      <c r="AT1" s="47" t="s">
        <v>105</v>
      </c>
      <c r="AU1" s="47" t="s">
        <v>104</v>
      </c>
      <c r="AV1" s="47" t="s">
        <v>103</v>
      </c>
      <c r="AW1" s="47" t="s">
        <v>102</v>
      </c>
      <c r="AX1" s="47" t="s">
        <v>101</v>
      </c>
      <c r="AY1" s="47" t="s">
        <v>100</v>
      </c>
      <c r="AZ1" s="47" t="s">
        <v>99</v>
      </c>
      <c r="BA1" s="47" t="s">
        <v>98</v>
      </c>
    </row>
    <row r="2" spans="1:53">
      <c r="A2" s="295">
        <v>0</v>
      </c>
      <c r="B2" s="52"/>
      <c r="C2" s="52"/>
      <c r="D2" s="53">
        <f>DEVSQ(C3:C52)</f>
        <v>702.96013227618414</v>
      </c>
      <c r="E2" s="68"/>
      <c r="F2" s="76"/>
      <c r="G2" s="76"/>
      <c r="H2" s="50"/>
      <c r="I2" s="50"/>
      <c r="J2" s="68"/>
      <c r="K2" s="76"/>
      <c r="L2" s="76"/>
      <c r="M2" s="50"/>
      <c r="N2" s="49"/>
      <c r="O2" s="49"/>
      <c r="P2" s="49"/>
      <c r="Q2" s="52"/>
      <c r="R2" s="52"/>
      <c r="S2" s="53">
        <f>DEVSQ(R4:R53)</f>
        <v>414.1346911282252</v>
      </c>
      <c r="T2" s="65"/>
      <c r="U2" s="73"/>
      <c r="V2" s="73"/>
      <c r="W2" s="50"/>
      <c r="Y2" s="49"/>
      <c r="Z2" s="65"/>
      <c r="AA2" s="73"/>
      <c r="AB2" s="73"/>
      <c r="AC2" s="50"/>
      <c r="AE2" s="45"/>
      <c r="AF2" s="45"/>
      <c r="AG2" s="45"/>
      <c r="AH2" s="45"/>
      <c r="AI2" s="45"/>
      <c r="AJ2" s="45"/>
      <c r="AK2" s="45"/>
      <c r="AL2" s="45"/>
      <c r="AM2" s="45"/>
      <c r="AN2" s="45"/>
      <c r="AO2" s="45"/>
      <c r="AP2" s="45"/>
      <c r="AQ2" s="45"/>
      <c r="AR2" s="45"/>
      <c r="AS2" s="45"/>
      <c r="AT2" s="45"/>
      <c r="AU2" s="45"/>
      <c r="AV2" s="45"/>
      <c r="AW2" s="45"/>
      <c r="AX2" s="45"/>
      <c r="AY2" s="45"/>
      <c r="AZ2" s="45"/>
      <c r="BA2" s="45"/>
    </row>
    <row r="3" spans="1:53">
      <c r="A3" s="38">
        <v>1</v>
      </c>
      <c r="B3" s="37">
        <v>1.2999999999999998</v>
      </c>
      <c r="C3" s="35">
        <f>B3-AVERAGE($B$3:$B$52)</f>
        <v>-0.47954271673091786</v>
      </c>
      <c r="D3" s="48">
        <f>SUMPRODUCT($C$3:INDEX($C$3:$C$52,ROWS(C4:$C$52)),C4:$C$52)</f>
        <v>497.75440082378066</v>
      </c>
      <c r="E3" s="69">
        <f t="shared" ref="E3:E22" si="0">D3/$D$2</f>
        <v>0.70808340042279849</v>
      </c>
      <c r="F3" s="77">
        <f t="shared" ref="F3:F22" si="1">-1.96*H3</f>
        <v>-0.39227079844758717</v>
      </c>
      <c r="G3" s="77">
        <f t="shared" ref="G3:G22" si="2">1.96*H3</f>
        <v>0.39227079844758717</v>
      </c>
      <c r="H3" s="34">
        <f>SQRT((1/COUNT($C$3:$C$52))*(1+2*SUMSQ($E$3:E3)))</f>
        <v>0.20013816247325877</v>
      </c>
      <c r="I3" s="34"/>
      <c r="J3" s="70">
        <f t="shared" ref="J3:J22" si="3">AG3</f>
        <v>0.70808340042279849</v>
      </c>
      <c r="K3" s="70">
        <f t="shared" ref="K3:K22" si="4">-1.96*M3</f>
        <v>-0.27718585822512665</v>
      </c>
      <c r="L3" s="70">
        <f t="shared" ref="L3:L22" si="5">1.96*M3</f>
        <v>0.27718585822512665</v>
      </c>
      <c r="M3" s="40">
        <f>1/SQRT(COUNT($C$3:$C$52))</f>
        <v>0.1414213562373095</v>
      </c>
      <c r="N3" s="34"/>
      <c r="O3" s="199">
        <v>1</v>
      </c>
      <c r="P3" s="292"/>
      <c r="Q3" s="36"/>
      <c r="R3" s="35"/>
      <c r="S3" s="48"/>
      <c r="T3" s="66"/>
      <c r="U3" s="74"/>
      <c r="V3" s="74"/>
      <c r="W3" s="34"/>
      <c r="Z3" s="65"/>
      <c r="AA3" s="73"/>
      <c r="AB3" s="73"/>
      <c r="AC3" s="50"/>
      <c r="AE3" s="45">
        <v>1</v>
      </c>
      <c r="AF3" s="42">
        <f t="shared" ref="AF3:AF22" si="6">E3</f>
        <v>0.70808340042279849</v>
      </c>
      <c r="AG3" s="34">
        <f>AH3</f>
        <v>0.70808340042279849</v>
      </c>
      <c r="AH3" s="39">
        <f>AF3</f>
        <v>0.70808340042279849</v>
      </c>
      <c r="AI3" s="34"/>
      <c r="AJ3" s="34"/>
      <c r="AK3" s="34"/>
      <c r="AL3" s="34"/>
      <c r="AM3" s="41"/>
      <c r="AN3" s="34"/>
      <c r="AO3" s="34"/>
      <c r="AP3" s="34"/>
      <c r="AQ3" s="34"/>
      <c r="AR3" s="34"/>
      <c r="AS3" s="34"/>
      <c r="AT3" s="34"/>
      <c r="AU3" s="34"/>
      <c r="AV3" s="34"/>
      <c r="AW3" s="34"/>
      <c r="AX3" s="34"/>
      <c r="AY3" s="44"/>
      <c r="AZ3" s="44"/>
      <c r="BA3" s="44"/>
    </row>
    <row r="4" spans="1:53">
      <c r="A4" s="38">
        <v>2</v>
      </c>
      <c r="B4" s="37">
        <v>8.6</v>
      </c>
      <c r="C4" s="35">
        <f t="shared" ref="C4:C52" si="7">B4-AVERAGE($B$3:$B$52)</f>
        <v>6.8204572832690822</v>
      </c>
      <c r="D4" s="48">
        <f>SUMPRODUCT($C$3:INDEX($C$3:$C$52,ROWS(C5:$C$52)),C5:$C$52)</f>
        <v>355.805149312254</v>
      </c>
      <c r="E4" s="69">
        <f t="shared" si="0"/>
        <v>0.50615267207282055</v>
      </c>
      <c r="F4" s="77">
        <f t="shared" si="1"/>
        <v>-0.43959485952890737</v>
      </c>
      <c r="G4" s="77">
        <f t="shared" si="2"/>
        <v>0.43959485952890737</v>
      </c>
      <c r="H4" s="34">
        <f>SQRT((1/COUNT($C$3:$C$52))*(1+2*SUMSQ($E$3:E4)))</f>
        <v>0.22428309159638132</v>
      </c>
      <c r="I4" s="34"/>
      <c r="J4" s="70">
        <f t="shared" si="3"/>
        <v>9.5675869983917663E-3</v>
      </c>
      <c r="K4" s="70">
        <f t="shared" si="4"/>
        <v>-0.27718585822512665</v>
      </c>
      <c r="L4" s="70">
        <f t="shared" si="5"/>
        <v>0.27718585822512665</v>
      </c>
      <c r="M4" s="40">
        <f t="shared" ref="M4:M22" si="8">1/SQRT(COUNT($C$3:$C$52))</f>
        <v>0.1414213562373095</v>
      </c>
      <c r="N4" s="34"/>
      <c r="O4" s="293"/>
      <c r="P4" s="294">
        <v>1</v>
      </c>
      <c r="Q4" s="36">
        <f>B4-B3</f>
        <v>7.3</v>
      </c>
      <c r="R4" s="35">
        <f>Q4-AVERAGE($Q$4:$Q$52)</f>
        <v>7.2855102040816329</v>
      </c>
      <c r="S4" s="48">
        <f>SUMPRODUCT($R$4:INDEX($R$4:$R$53,ROWS($R5:R$53)),$R5:R$53)</f>
        <v>-61.192524007273526</v>
      </c>
      <c r="T4" s="66">
        <f>S4/$S$2</f>
        <v>-0.14775995664735794</v>
      </c>
      <c r="U4" s="74">
        <f t="shared" ref="U4:U22" si="9">-1.96*W4</f>
        <v>-0.28604792457003719</v>
      </c>
      <c r="V4" s="74">
        <f t="shared" ref="V4:V22" si="10">1.96*W4</f>
        <v>0.28604792457003719</v>
      </c>
      <c r="W4" s="34">
        <f>SQRT((1/COUNT($R$4:$R$52))*(1+2*SUMSQ($T$4:T4)))</f>
        <v>0.14594281865818223</v>
      </c>
      <c r="Z4" s="71">
        <f t="shared" ref="Z4:Z23" si="11">AG27</f>
        <v>-0.14775995664735794</v>
      </c>
      <c r="AA4" s="74">
        <f t="shared" ref="AA4:AA23" si="12">-1.96*AC4</f>
        <v>-0.27999999999999997</v>
      </c>
      <c r="AB4" s="74">
        <f t="shared" ref="AB4:AB23" si="13">1.96*AC4</f>
        <v>0.27999999999999997</v>
      </c>
      <c r="AC4" s="40">
        <f>1/SQRT(COUNT($R$4:$R$52))</f>
        <v>0.14285714285714285</v>
      </c>
      <c r="AE4" s="45">
        <v>2</v>
      </c>
      <c r="AF4" s="42">
        <f t="shared" si="6"/>
        <v>0.50615267207282055</v>
      </c>
      <c r="AG4" s="34">
        <f>AI4</f>
        <v>9.5675869983917663E-3</v>
      </c>
      <c r="AH4" s="34">
        <f>AH3-(AH3*AI4)</f>
        <v>0.70130875088713629</v>
      </c>
      <c r="AI4" s="39">
        <f>(AF4-(AH3*AF3))/(1-(AH3*AF3))</f>
        <v>9.5675869983917663E-3</v>
      </c>
      <c r="AJ4" s="34"/>
      <c r="AK4" s="34"/>
      <c r="AL4" s="34"/>
      <c r="AM4" s="41"/>
      <c r="AN4" s="34"/>
      <c r="AO4" s="34"/>
      <c r="AP4" s="34"/>
      <c r="AQ4" s="34"/>
      <c r="AR4" s="34"/>
      <c r="AS4" s="34"/>
      <c r="AT4" s="34"/>
      <c r="AU4" s="34"/>
      <c r="AV4" s="34"/>
      <c r="AW4" s="34"/>
      <c r="AX4" s="34"/>
      <c r="AY4" s="44"/>
      <c r="AZ4" s="44"/>
      <c r="BA4" s="44"/>
    </row>
    <row r="5" spans="1:53">
      <c r="A5" s="38">
        <v>3</v>
      </c>
      <c r="B5" s="37">
        <v>12.132</v>
      </c>
      <c r="C5" s="35">
        <f t="shared" si="7"/>
        <v>10.352457283269082</v>
      </c>
      <c r="D5" s="48">
        <f>SUMPRODUCT($C$3:INDEX($C$3:$C$52,ROWS(C6:$C$52)),C6:$C$52)</f>
        <v>297.07657162384561</v>
      </c>
      <c r="E5" s="69">
        <f t="shared" si="0"/>
        <v>0.42260799437076468</v>
      </c>
      <c r="F5" s="77">
        <f t="shared" si="1"/>
        <v>-0.46977404074948181</v>
      </c>
      <c r="G5" s="77">
        <f t="shared" si="2"/>
        <v>0.46977404074948181</v>
      </c>
      <c r="H5" s="34">
        <f>SQRT((1/COUNT($C$3:$C$52))*(1+2*SUMSQ($E$3:E5)))</f>
        <v>0.2396806330354499</v>
      </c>
      <c r="I5" s="34"/>
      <c r="J5" s="70">
        <f t="shared" si="3"/>
        <v>0.12207668194649815</v>
      </c>
      <c r="K5" s="70">
        <f t="shared" si="4"/>
        <v>-0.27718585822512665</v>
      </c>
      <c r="L5" s="70">
        <f t="shared" si="5"/>
        <v>0.27718585822512665</v>
      </c>
      <c r="M5" s="40">
        <f t="shared" si="8"/>
        <v>0.1414213562373095</v>
      </c>
      <c r="N5" s="34"/>
      <c r="O5" s="197"/>
      <c r="P5" s="294">
        <v>2</v>
      </c>
      <c r="Q5" s="36">
        <f t="shared" ref="Q5:Q53" si="14">B5-B4</f>
        <v>3.532</v>
      </c>
      <c r="R5" s="35">
        <f t="shared" ref="R5:R53" si="15">Q5-AVERAGE($Q$4:$Q$52)</f>
        <v>3.5175102040816326</v>
      </c>
      <c r="S5" s="48">
        <f>SUMPRODUCT($R$4:INDEX($R$4:$R$53,ROWS($R6:R$53)),$R6:R$53)</f>
        <v>-85.878348249684862</v>
      </c>
      <c r="T5" s="66">
        <f t="shared" ref="T5:T22" si="16">S5/$S$2</f>
        <v>-0.20736815845039902</v>
      </c>
      <c r="U5" s="74">
        <f t="shared" si="9"/>
        <v>-0.29760050181919739</v>
      </c>
      <c r="V5" s="74">
        <f t="shared" si="10"/>
        <v>0.29760050181919739</v>
      </c>
      <c r="W5" s="34">
        <f>SQRT((1/COUNT($R$4:$R$52))*(1+2*SUMSQ($T$4:T5)))</f>
        <v>0.1518369907240803</v>
      </c>
      <c r="Z5" s="71">
        <f t="shared" si="11"/>
        <v>-0.2343170075874963</v>
      </c>
      <c r="AA5" s="74">
        <f t="shared" si="12"/>
        <v>-0.27999999999999997</v>
      </c>
      <c r="AB5" s="74">
        <f t="shared" si="13"/>
        <v>0.27999999999999997</v>
      </c>
      <c r="AC5" s="40">
        <f t="shared" ref="AC5:AC23" si="17">1/SQRT(COUNT($R$4:$R$52))</f>
        <v>0.14285714285714285</v>
      </c>
      <c r="AE5" s="45">
        <v>3</v>
      </c>
      <c r="AF5" s="42">
        <f t="shared" si="6"/>
        <v>0.42260799437076468</v>
      </c>
      <c r="AG5" s="34">
        <f>AJ5</f>
        <v>0.12207668194649815</v>
      </c>
      <c r="AH5" s="34">
        <f>AH4-(AI4*AJ5)</f>
        <v>0.70014077161213817</v>
      </c>
      <c r="AI5" s="34">
        <f>AI4-(AH4*AJ5)</f>
        <v>-7.6045858329953073E-2</v>
      </c>
      <c r="AJ5" s="39">
        <f>(AF5-(AH4*AF4+AI4*AF3))/(1-(AH4*AF3+AI4*AF4))</f>
        <v>0.12207668194649815</v>
      </c>
      <c r="AK5" s="34"/>
      <c r="AL5" s="34"/>
      <c r="AM5" s="41"/>
      <c r="AN5" s="34"/>
      <c r="AO5" s="34"/>
      <c r="AP5" s="34"/>
      <c r="AQ5" s="34"/>
      <c r="AR5" s="34"/>
      <c r="AS5" s="34"/>
      <c r="AT5" s="34"/>
      <c r="AU5" s="34"/>
      <c r="AV5" s="34"/>
      <c r="AW5" s="34"/>
      <c r="AX5" s="34"/>
      <c r="AY5" s="44"/>
      <c r="AZ5" s="44"/>
      <c r="BA5" s="44"/>
    </row>
    <row r="6" spans="1:53">
      <c r="A6" s="38">
        <v>4</v>
      </c>
      <c r="B6" s="37">
        <v>10.9696</v>
      </c>
      <c r="C6" s="35">
        <f t="shared" si="7"/>
        <v>9.1900572832690823</v>
      </c>
      <c r="D6" s="48">
        <f>SUMPRODUCT($C$3:INDEX($C$3:$C$52,ROWS(C7:$C$52)),C7:$C$52)</f>
        <v>153.66765064491162</v>
      </c>
      <c r="E6" s="69">
        <f t="shared" si="0"/>
        <v>0.21860080478153993</v>
      </c>
      <c r="F6" s="77">
        <f t="shared" si="1"/>
        <v>-0.47752558589712119</v>
      </c>
      <c r="G6" s="77">
        <f t="shared" si="2"/>
        <v>0.47752558589712119</v>
      </c>
      <c r="H6" s="34">
        <f>SQRT((1/COUNT($C$3:$C$52))*(1+2*SUMSQ($E$3:E6)))</f>
        <v>0.24363550300873529</v>
      </c>
      <c r="I6" s="34"/>
      <c r="J6" s="70">
        <f t="shared" si="3"/>
        <v>-0.25498510757379067</v>
      </c>
      <c r="K6" s="70">
        <f t="shared" si="4"/>
        <v>-0.27718585822512665</v>
      </c>
      <c r="L6" s="70">
        <f t="shared" si="5"/>
        <v>0.27718585822512665</v>
      </c>
      <c r="M6" s="40">
        <f t="shared" si="8"/>
        <v>0.1414213562373095</v>
      </c>
      <c r="N6" s="34"/>
      <c r="O6" s="197"/>
      <c r="P6" s="294">
        <v>3</v>
      </c>
      <c r="Q6" s="36">
        <f t="shared" si="14"/>
        <v>-1.1623999999999999</v>
      </c>
      <c r="R6" s="35">
        <f t="shared" si="15"/>
        <v>-1.1768897959183673</v>
      </c>
      <c r="S6" s="48">
        <f>SUMPRODUCT($R$4:INDEX($R$4:$R$53,ROWS($R7:R$53)),$R7:R$53)</f>
        <v>78.765360040976176</v>
      </c>
      <c r="T6" s="66">
        <f t="shared" si="16"/>
        <v>0.19019261541793583</v>
      </c>
      <c r="U6" s="74">
        <f t="shared" si="9"/>
        <v>-0.30698211885627807</v>
      </c>
      <c r="V6" s="74">
        <f t="shared" si="10"/>
        <v>0.30698211885627807</v>
      </c>
      <c r="W6" s="34">
        <f>SQRT((1/COUNT($R$4:$R$52))*(1+2*SUMSQ($T$4:T6)))</f>
        <v>0.15662353002871329</v>
      </c>
      <c r="Z6" s="71">
        <f t="shared" si="11"/>
        <v>0.12737104241324604</v>
      </c>
      <c r="AA6" s="74">
        <f t="shared" si="12"/>
        <v>-0.27999999999999997</v>
      </c>
      <c r="AB6" s="74">
        <f t="shared" si="13"/>
        <v>0.27999999999999997</v>
      </c>
      <c r="AC6" s="40">
        <f t="shared" si="17"/>
        <v>0.14285714285714285</v>
      </c>
      <c r="AE6" s="45">
        <v>4</v>
      </c>
      <c r="AF6" s="42">
        <f t="shared" si="6"/>
        <v>0.21860080478153993</v>
      </c>
      <c r="AG6" s="41">
        <f>AK6</f>
        <v>-0.25498510757379067</v>
      </c>
      <c r="AH6" s="41">
        <f>AH5-(AJ5*AK6)</f>
        <v>0.73126850749051742</v>
      </c>
      <c r="AI6" s="41">
        <f>AI5-(AI5*AK6)</f>
        <v>-9.5436419696757396E-2</v>
      </c>
      <c r="AJ6" s="41">
        <f>AJ5-(AH5*AK6)</f>
        <v>0.30060215191281603</v>
      </c>
      <c r="AK6" s="39">
        <f>(AF6-(AH5*AF5+AI5*AF4+AJ5*AF3))/(1-(AH5*AF3+AI5*AF4+AJ5*AF5))</f>
        <v>-0.25498510757379067</v>
      </c>
      <c r="AL6" s="34"/>
      <c r="AM6" s="41"/>
      <c r="AN6" s="34"/>
      <c r="AO6" s="34"/>
      <c r="AP6" s="34"/>
      <c r="AQ6" s="34"/>
      <c r="AR6" s="34"/>
      <c r="AS6" s="34"/>
      <c r="AT6" s="34"/>
      <c r="AU6" s="34"/>
      <c r="AV6" s="34"/>
      <c r="AW6" s="34"/>
      <c r="AX6" s="34"/>
      <c r="AY6" s="44"/>
      <c r="AZ6" s="44"/>
      <c r="BA6" s="44"/>
    </row>
    <row r="7" spans="1:53">
      <c r="A7" s="38">
        <v>5</v>
      </c>
      <c r="B7" s="37">
        <v>7.8545599999999984</v>
      </c>
      <c r="C7" s="35">
        <f t="shared" si="7"/>
        <v>6.075017283269081</v>
      </c>
      <c r="D7" s="48">
        <f>SUMPRODUCT($C$3:INDEX($C$3:$C$52,ROWS(C8:$C$52)),C8:$C$52)</f>
        <v>102.06736770439281</v>
      </c>
      <c r="E7" s="69">
        <f t="shared" si="0"/>
        <v>0.14519652398194871</v>
      </c>
      <c r="F7" s="77">
        <f t="shared" si="1"/>
        <v>-0.48090563973911454</v>
      </c>
      <c r="G7" s="77">
        <f t="shared" si="2"/>
        <v>0.48090563973911454</v>
      </c>
      <c r="H7" s="34">
        <f>SQRT((1/COUNT($C$3:$C$52))*(1+2*SUMSQ($E$3:E7)))</f>
        <v>0.24536002027505843</v>
      </c>
      <c r="I7" s="34"/>
      <c r="J7" s="70">
        <f t="shared" si="3"/>
        <v>0.11775232620835639</v>
      </c>
      <c r="K7" s="70">
        <f t="shared" si="4"/>
        <v>-0.27718585822512665</v>
      </c>
      <c r="L7" s="70">
        <f t="shared" si="5"/>
        <v>0.27718585822512665</v>
      </c>
      <c r="M7" s="40">
        <f t="shared" si="8"/>
        <v>0.1414213562373095</v>
      </c>
      <c r="N7" s="34"/>
      <c r="O7" s="34"/>
      <c r="P7" s="294">
        <v>4</v>
      </c>
      <c r="Q7" s="36">
        <f t="shared" si="14"/>
        <v>-3.1150400000000014</v>
      </c>
      <c r="R7" s="35">
        <f t="shared" si="15"/>
        <v>-3.1295297959183688</v>
      </c>
      <c r="S7" s="48">
        <f>SUMPRODUCT($R$4:INDEX($R$4:$R$53,ROWS($R8:R$53)),$R8:R$53)</f>
        <v>-87.878589789177141</v>
      </c>
      <c r="T7" s="66">
        <f t="shared" si="16"/>
        <v>-0.21219808837982135</v>
      </c>
      <c r="U7" s="74">
        <f t="shared" si="9"/>
        <v>-0.31827412115900899</v>
      </c>
      <c r="V7" s="74">
        <f t="shared" si="10"/>
        <v>0.31827412115900899</v>
      </c>
      <c r="W7" s="34">
        <f>SQRT((1/COUNT($R$4:$R$52))*(1+2*SUMSQ($T$4:T7)))</f>
        <v>0.16238475569337193</v>
      </c>
      <c r="Z7" s="71">
        <f t="shared" si="11"/>
        <v>-0.22885905161243128</v>
      </c>
      <c r="AA7" s="74">
        <f t="shared" si="12"/>
        <v>-0.27999999999999997</v>
      </c>
      <c r="AB7" s="74">
        <f t="shared" si="13"/>
        <v>0.27999999999999997</v>
      </c>
      <c r="AC7" s="40">
        <f t="shared" si="17"/>
        <v>0.14285714285714285</v>
      </c>
      <c r="AE7" s="45">
        <v>5</v>
      </c>
      <c r="AF7" s="42">
        <f t="shared" si="6"/>
        <v>0.14519652398194871</v>
      </c>
      <c r="AG7" s="41">
        <f>AL7</f>
        <v>0.11775232620835639</v>
      </c>
      <c r="AH7" s="41">
        <f>AH6-(AK6*AL7)</f>
        <v>0.76129359705581923</v>
      </c>
      <c r="AI7" s="41">
        <f>AI6-(AJ6*AL7)</f>
        <v>-0.1308330223477292</v>
      </c>
      <c r="AJ7" s="41">
        <f>AJ6-(AI6*AL7)</f>
        <v>0.31184001233710623</v>
      </c>
      <c r="AK7" s="34">
        <f>AK6-(AH6*AL7)</f>
        <v>-0.34109367541371199</v>
      </c>
      <c r="AL7" s="39">
        <f>(AF7-(AH6*AF6+AI6*AF5+AJ6*AF4+AK6*AF3))/(1-(AH6*AF3+AI6*AF4+AJ6*AF5+AK6*AF6))</f>
        <v>0.11775232620835639</v>
      </c>
      <c r="AM7" s="41"/>
      <c r="AN7" s="34"/>
      <c r="AO7" s="34"/>
      <c r="AP7" s="34"/>
      <c r="AQ7" s="34"/>
      <c r="AR7" s="34"/>
      <c r="AS7" s="34"/>
      <c r="AT7" s="34"/>
      <c r="AU7" s="34"/>
      <c r="AV7" s="34"/>
      <c r="AW7" s="34"/>
      <c r="AX7" s="34"/>
      <c r="AY7" s="44"/>
      <c r="AZ7" s="44"/>
      <c r="BA7" s="44"/>
    </row>
    <row r="8" spans="1:53">
      <c r="A8" s="38">
        <v>6</v>
      </c>
      <c r="B8" s="37">
        <v>6.9285119999999987</v>
      </c>
      <c r="C8" s="35">
        <f t="shared" si="7"/>
        <v>5.1489692832690812</v>
      </c>
      <c r="D8" s="48">
        <f>SUMPRODUCT($C$3:INDEX($C$3:$C$52,ROWS(C9:$C$52)),C9:$C$52)</f>
        <v>101.92155655768306</v>
      </c>
      <c r="E8" s="69">
        <f t="shared" si="0"/>
        <v>0.1449890994922588</v>
      </c>
      <c r="F8" s="77">
        <f t="shared" si="1"/>
        <v>-0.48425255208064244</v>
      </c>
      <c r="G8" s="77">
        <f t="shared" si="2"/>
        <v>0.48425255208064244</v>
      </c>
      <c r="H8" s="34">
        <f>SQRT((1/COUNT($C$3:$C$52))*(1+2*SUMSQ($E$3:E8)))</f>
        <v>0.24706762861257267</v>
      </c>
      <c r="I8" s="34"/>
      <c r="J8" s="70">
        <f t="shared" si="3"/>
        <v>4.5342608281006509E-2</v>
      </c>
      <c r="K8" s="70">
        <f t="shared" si="4"/>
        <v>-0.27718585822512665</v>
      </c>
      <c r="L8" s="70">
        <f t="shared" si="5"/>
        <v>0.27718585822512665</v>
      </c>
      <c r="M8" s="40">
        <f t="shared" si="8"/>
        <v>0.1414213562373095</v>
      </c>
      <c r="N8" s="34"/>
      <c r="O8" s="34"/>
      <c r="P8" s="294">
        <v>5</v>
      </c>
      <c r="Q8" s="36">
        <f t="shared" si="14"/>
        <v>-0.92604799999999976</v>
      </c>
      <c r="R8" s="35">
        <f t="shared" si="15"/>
        <v>-0.94053779591836717</v>
      </c>
      <c r="S8" s="48">
        <f>SUMPRODUCT($R$4:INDEX($R$4:$R$53,ROWS($R9:R$53)),$R9:R$53)</f>
        <v>-46.270362538671137</v>
      </c>
      <c r="T8" s="66">
        <f t="shared" si="16"/>
        <v>-0.11172781109599152</v>
      </c>
      <c r="U8" s="74">
        <f t="shared" si="9"/>
        <v>-0.32133435370504104</v>
      </c>
      <c r="V8" s="74">
        <f t="shared" si="10"/>
        <v>0.32133435370504104</v>
      </c>
      <c r="W8" s="34">
        <f>SQRT((1/COUNT($R$4:$R$52))*(1+2*SUMSQ($T$4:T8)))</f>
        <v>0.16394609882910258</v>
      </c>
      <c r="Z8" s="71">
        <f t="shared" si="11"/>
        <v>-0.11976605372778258</v>
      </c>
      <c r="AA8" s="74">
        <f t="shared" si="12"/>
        <v>-0.27999999999999997</v>
      </c>
      <c r="AB8" s="74">
        <f t="shared" si="13"/>
        <v>0.27999999999999997</v>
      </c>
      <c r="AC8" s="40">
        <f t="shared" si="17"/>
        <v>0.14285714285714285</v>
      </c>
      <c r="AE8" s="45">
        <v>6</v>
      </c>
      <c r="AF8" s="42">
        <f t="shared" si="6"/>
        <v>0.1449890994922588</v>
      </c>
      <c r="AG8" s="41">
        <f>AM8</f>
        <v>4.5342608281006509E-2</v>
      </c>
      <c r="AH8" s="41">
        <f>AH7-(AL7*AM8)</f>
        <v>0.75595439945437648</v>
      </c>
      <c r="AI8" s="41">
        <f>AI7-(AK7*AM8)</f>
        <v>-0.11536694543631648</v>
      </c>
      <c r="AJ8" s="41">
        <f>AJ7-(AJ7*AM8)</f>
        <v>0.29770037281136058</v>
      </c>
      <c r="AK8" s="34">
        <f>AK7-(AI7*AM8)</f>
        <v>-0.33516136493117876</v>
      </c>
      <c r="AL8" s="34">
        <f>AL7-(AH7*AM8)</f>
        <v>8.323328885021597E-2</v>
      </c>
      <c r="AM8" s="46">
        <f>(AF8-(AH7*AF7+AI7*AF6+AJ7*AF5+AK7*AF4+AL7*AF3))/(1-(AH7*AF3+AI7*AF4+AJ7*AF5+AK7*AF6+AL7*AF7))</f>
        <v>4.5342608281006509E-2</v>
      </c>
      <c r="AN8" s="34"/>
      <c r="AO8" s="34"/>
      <c r="AP8" s="34"/>
      <c r="AQ8" s="34"/>
      <c r="AR8" s="34"/>
      <c r="AS8" s="34"/>
      <c r="AT8" s="34"/>
      <c r="AU8" s="34"/>
      <c r="AV8" s="34"/>
      <c r="AW8" s="34"/>
      <c r="AX8" s="34"/>
      <c r="AY8" s="44"/>
      <c r="AZ8" s="44"/>
      <c r="BA8" s="44"/>
    </row>
    <row r="9" spans="1:53">
      <c r="A9" s="38">
        <v>7</v>
      </c>
      <c r="B9" s="37">
        <v>3.8660799999999984</v>
      </c>
      <c r="C9" s="35">
        <f t="shared" si="7"/>
        <v>2.0865372832690809</v>
      </c>
      <c r="D9" s="48">
        <f>SUMPRODUCT($C$3:INDEX($C$3:$C$52,ROWS(C10:$C$52)),C10:$C$52)</f>
        <v>5.0890831698578785</v>
      </c>
      <c r="E9" s="69">
        <f t="shared" si="0"/>
        <v>7.2395046834013658E-3</v>
      </c>
      <c r="F9" s="77">
        <f t="shared" si="1"/>
        <v>-0.48426086750080566</v>
      </c>
      <c r="G9" s="77">
        <f t="shared" si="2"/>
        <v>0.48426086750080566</v>
      </c>
      <c r="H9" s="34">
        <f>SQRT((1/COUNT($C$3:$C$52))*(1+2*SUMSQ($E$3:E9)))</f>
        <v>0.24707187117388044</v>
      </c>
      <c r="I9" s="34"/>
      <c r="J9" s="70">
        <f t="shared" si="3"/>
        <v>-0.18429625643271699</v>
      </c>
      <c r="K9" s="70">
        <f t="shared" si="4"/>
        <v>-0.27718585822512665</v>
      </c>
      <c r="L9" s="70">
        <f t="shared" si="5"/>
        <v>0.27718585822512665</v>
      </c>
      <c r="M9" s="40">
        <f t="shared" si="8"/>
        <v>0.1414213562373095</v>
      </c>
      <c r="N9" s="34"/>
      <c r="O9" s="34"/>
      <c r="P9" s="294">
        <v>6</v>
      </c>
      <c r="Q9" s="36">
        <f t="shared" si="14"/>
        <v>-3.0624320000000003</v>
      </c>
      <c r="R9" s="35">
        <f t="shared" si="15"/>
        <v>-3.0769217959183677</v>
      </c>
      <c r="S9" s="48">
        <f>SUMPRODUCT($R$4:INDEX($R$4:$R$53,ROWS($R10:R$53)),$R10:R$53)</f>
        <v>101.4082168627711</v>
      </c>
      <c r="T9" s="66">
        <f t="shared" si="16"/>
        <v>0.24486771824525294</v>
      </c>
      <c r="U9" s="74">
        <f t="shared" si="9"/>
        <v>-0.33564494058903172</v>
      </c>
      <c r="V9" s="74">
        <f t="shared" si="10"/>
        <v>0.33564494058903172</v>
      </c>
      <c r="W9" s="34">
        <f>SQRT((1/COUNT($R$4:$R$52))*(1+2*SUMSQ($T$4:T9)))</f>
        <v>0.17124741866787332</v>
      </c>
      <c r="Z9" s="71">
        <f t="shared" si="11"/>
        <v>0.11234116596202119</v>
      </c>
      <c r="AA9" s="74">
        <f t="shared" si="12"/>
        <v>-0.27999999999999997</v>
      </c>
      <c r="AB9" s="74">
        <f t="shared" si="13"/>
        <v>0.27999999999999997</v>
      </c>
      <c r="AC9" s="40">
        <f t="shared" si="17"/>
        <v>0.14285714285714285</v>
      </c>
      <c r="AE9" s="45">
        <v>7</v>
      </c>
      <c r="AF9" s="42">
        <f t="shared" si="6"/>
        <v>7.2395046834013658E-3</v>
      </c>
      <c r="AG9" s="41">
        <f>AN9</f>
        <v>-0.18429625643271699</v>
      </c>
      <c r="AH9" s="41">
        <f>AH8-(AM8*AN9)</f>
        <v>0.7643108724174611</v>
      </c>
      <c r="AI9" s="41">
        <f>AI8-(AL8*AN9)</f>
        <v>-0.10002736189063867</v>
      </c>
      <c r="AJ9" s="41">
        <f>AJ8-(AK8*AN9)</f>
        <v>0.23593138795366461</v>
      </c>
      <c r="AK9" s="34">
        <f>AK8-(AJ8*AN9)</f>
        <v>-0.28029630068342082</v>
      </c>
      <c r="AL9" s="34">
        <f>AL8-(AI8*AN9)</f>
        <v>6.1971592690225313E-2</v>
      </c>
      <c r="AM9" s="34">
        <f>AM8-(AH8*AN9)</f>
        <v>0.18466217413429084</v>
      </c>
      <c r="AN9" s="39">
        <f>(AF9-(AH8*AF8+AI8*AF7+AJ8*AF6+AK8*AF5+AL8*AF4+AM8*AF3))/(1-(AH8*AF3+AI8*AF4+AJ8*AF5+AK8*AF6+AL8*AF7+AM8*AF8))</f>
        <v>-0.18429625643271699</v>
      </c>
      <c r="AO9" s="34"/>
      <c r="AP9" s="34"/>
      <c r="AQ9" s="34"/>
      <c r="AR9" s="34"/>
      <c r="AS9" s="34"/>
      <c r="AT9" s="34"/>
      <c r="AU9" s="34"/>
      <c r="AV9" s="34"/>
      <c r="AW9" s="34"/>
      <c r="AX9" s="34"/>
      <c r="AY9" s="44"/>
      <c r="AZ9" s="44"/>
      <c r="BA9" s="44"/>
    </row>
    <row r="10" spans="1:53">
      <c r="A10" s="38">
        <v>8</v>
      </c>
      <c r="B10" s="37">
        <v>2.9443020799999982</v>
      </c>
      <c r="C10" s="35">
        <f t="shared" si="7"/>
        <v>1.1647593632690805</v>
      </c>
      <c r="D10" s="48">
        <f>SUMPRODUCT($C$3:INDEX($C$3:$C$52,ROWS(C11:$C$52)),C11:$C$52)</f>
        <v>13.485179753651879</v>
      </c>
      <c r="E10" s="69">
        <f t="shared" si="0"/>
        <v>1.918342041672674E-2</v>
      </c>
      <c r="F10" s="77">
        <f t="shared" si="1"/>
        <v>-0.48431925080542193</v>
      </c>
      <c r="G10" s="77">
        <f t="shared" si="2"/>
        <v>0.48431925080542193</v>
      </c>
      <c r="H10" s="34">
        <f>SQRT((1/COUNT($C$3:$C$52))*(1+2*SUMSQ($E$3:E10)))</f>
        <v>0.24710165857419486</v>
      </c>
      <c r="I10" s="34"/>
      <c r="J10" s="70">
        <f t="shared" si="3"/>
        <v>0.15120379611590021</v>
      </c>
      <c r="K10" s="70">
        <f t="shared" si="4"/>
        <v>-0.27718585822512665</v>
      </c>
      <c r="L10" s="70">
        <f t="shared" si="5"/>
        <v>0.27718585822512665</v>
      </c>
      <c r="M10" s="40">
        <f t="shared" si="8"/>
        <v>0.1414213562373095</v>
      </c>
      <c r="N10" s="34"/>
      <c r="O10" s="34"/>
      <c r="P10" s="294">
        <v>7</v>
      </c>
      <c r="Q10" s="36">
        <f t="shared" si="14"/>
        <v>-0.92177792000000025</v>
      </c>
      <c r="R10" s="35">
        <f t="shared" si="15"/>
        <v>-0.93626771591836766</v>
      </c>
      <c r="S10" s="48">
        <f>SUMPRODUCT($R$4:INDEX($R$4:$R$53,ROWS($R11:R$53)),$R11:R$53)</f>
        <v>-102.36502995731705</v>
      </c>
      <c r="T10" s="66">
        <f t="shared" si="16"/>
        <v>-0.24717810932101456</v>
      </c>
      <c r="U10" s="74">
        <f t="shared" si="9"/>
        <v>-0.34962485398307769</v>
      </c>
      <c r="V10" s="74">
        <f t="shared" si="10"/>
        <v>0.34962485398307769</v>
      </c>
      <c r="W10" s="34">
        <f>SQRT((1/COUNT($R$4:$R$52))*(1+2*SUMSQ($T$4:T10)))</f>
        <v>0.17838002754238658</v>
      </c>
      <c r="Z10" s="71">
        <f t="shared" si="11"/>
        <v>-0.22695857926700613</v>
      </c>
      <c r="AA10" s="74">
        <f t="shared" si="12"/>
        <v>-0.27999999999999997</v>
      </c>
      <c r="AB10" s="74">
        <f t="shared" si="13"/>
        <v>0.27999999999999997</v>
      </c>
      <c r="AC10" s="40">
        <f t="shared" si="17"/>
        <v>0.14285714285714285</v>
      </c>
      <c r="AE10" s="45">
        <v>8</v>
      </c>
      <c r="AF10" s="42">
        <f t="shared" si="6"/>
        <v>1.918342041672674E-2</v>
      </c>
      <c r="AG10" s="41">
        <f>AO10</f>
        <v>0.15120379611590021</v>
      </c>
      <c r="AH10" s="41">
        <f>AH9-(AN9*AO10)</f>
        <v>0.79217716600003729</v>
      </c>
      <c r="AI10" s="41">
        <f>AI9-(AM9*AO10)</f>
        <v>-0.12794898361875884</v>
      </c>
      <c r="AJ10" s="41">
        <f>AJ9-(AL9*AO10)</f>
        <v>0.22656104788755418</v>
      </c>
      <c r="AK10" s="34">
        <f>AK9-(AK9*AO10)</f>
        <v>-0.23791443598284379</v>
      </c>
      <c r="AL10" s="34">
        <f>AL9-(AJ9*AO10)</f>
        <v>2.6297871208738055E-2</v>
      </c>
      <c r="AM10" s="34">
        <f>AM9-(AI9*AO10)</f>
        <v>0.19978669096761434</v>
      </c>
      <c r="AN10" s="34">
        <f>AN9-(AH9*AO10)</f>
        <v>-0.29986296175489258</v>
      </c>
      <c r="AO10" s="39">
        <f>(AF10-(AH9*AF9+AI9*AF8+AJ9*AF7+AK9*AF6+AL9*AF5+AM9*AF4+AN9*AF3))/(1-(AH9*AF3+AI9*AF4+AJ9*AF5+AK9*AF6+AL9*AF7+AM9*AF8+AN9*AF9))</f>
        <v>0.15120379611590021</v>
      </c>
      <c r="AP10" s="34"/>
      <c r="AQ10" s="34"/>
      <c r="AR10" s="34"/>
      <c r="AS10" s="34"/>
      <c r="AT10" s="34"/>
      <c r="AU10" s="34"/>
      <c r="AV10" s="34"/>
      <c r="AW10" s="34"/>
      <c r="AX10" s="34"/>
      <c r="AY10" s="44"/>
      <c r="AZ10" s="44"/>
      <c r="BA10" s="44"/>
    </row>
    <row r="11" spans="1:53">
      <c r="A11" s="38">
        <v>9</v>
      </c>
      <c r="B11" s="37">
        <v>-0.12313113600000225</v>
      </c>
      <c r="C11" s="35">
        <f t="shared" si="7"/>
        <v>-1.9026738527309199</v>
      </c>
      <c r="D11" s="48">
        <f>SUMPRODUCT($C$3:INDEX($C$3:$C$52,ROWS(C12:$C$52)),C12:$C$52)</f>
        <v>-7.3461295834977944</v>
      </c>
      <c r="E11" s="69">
        <f t="shared" si="0"/>
        <v>-1.0450279107167906E-2</v>
      </c>
      <c r="F11" s="77">
        <f t="shared" si="1"/>
        <v>-0.48433657521404627</v>
      </c>
      <c r="G11" s="77">
        <f t="shared" si="2"/>
        <v>0.48433657521404627</v>
      </c>
      <c r="H11" s="34">
        <f>SQRT((1/COUNT($C$3:$C$52))*(1+2*SUMSQ($E$3:E11)))</f>
        <v>0.24711049755818687</v>
      </c>
      <c r="I11" s="34"/>
      <c r="J11" s="70">
        <f t="shared" si="3"/>
        <v>-0.16056467700472077</v>
      </c>
      <c r="K11" s="70">
        <f t="shared" si="4"/>
        <v>-0.27718585822512665</v>
      </c>
      <c r="L11" s="70">
        <f t="shared" si="5"/>
        <v>0.27718585822512665</v>
      </c>
      <c r="M11" s="40">
        <f t="shared" si="8"/>
        <v>0.1414213562373095</v>
      </c>
      <c r="N11" s="34"/>
      <c r="O11" s="34"/>
      <c r="P11" s="294">
        <v>8</v>
      </c>
      <c r="Q11" s="36">
        <f t="shared" si="14"/>
        <v>-3.0674332160000004</v>
      </c>
      <c r="R11" s="35">
        <f t="shared" si="15"/>
        <v>-3.0819230119183678</v>
      </c>
      <c r="S11" s="48">
        <f>SUMPRODUCT($R$4:INDEX($R$4:$R$53,ROWS($R12:R$53)),$R12:R$53)</f>
        <v>19.488847079753253</v>
      </c>
      <c r="T11" s="66">
        <f t="shared" si="16"/>
        <v>4.7059199572631501E-2</v>
      </c>
      <c r="U11" s="74">
        <f t="shared" si="9"/>
        <v>-0.35012109737424985</v>
      </c>
      <c r="V11" s="74">
        <f t="shared" si="10"/>
        <v>0.35012109737424985</v>
      </c>
      <c r="W11" s="34">
        <f>SQRT((1/COUNT($R$4:$R$52))*(1+2*SUMSQ($T$4:T11)))</f>
        <v>0.17863321294604584</v>
      </c>
      <c r="Z11" s="71">
        <f t="shared" si="11"/>
        <v>6.1701367644729978E-2</v>
      </c>
      <c r="AA11" s="74">
        <f t="shared" si="12"/>
        <v>-0.27999999999999997</v>
      </c>
      <c r="AB11" s="74">
        <f t="shared" si="13"/>
        <v>0.27999999999999997</v>
      </c>
      <c r="AC11" s="40">
        <f t="shared" si="17"/>
        <v>0.14285714285714285</v>
      </c>
      <c r="AE11" s="45">
        <v>9</v>
      </c>
      <c r="AF11" s="42">
        <f t="shared" si="6"/>
        <v>-1.0450279107167906E-2</v>
      </c>
      <c r="AG11" s="41">
        <f>AP11</f>
        <v>-0.16056467700472077</v>
      </c>
      <c r="AH11" s="41">
        <f>AH10-(AO10*AP11)</f>
        <v>0.81645515468527441</v>
      </c>
      <c r="AI11" s="41">
        <f>AI10-(AN10*AP11)</f>
        <v>-0.1760963832186121</v>
      </c>
      <c r="AJ11" s="41">
        <f>AJ10-(AM10*AP11)</f>
        <v>0.25863973339261115</v>
      </c>
      <c r="AK11" s="34">
        <f>AK10-(AL10*AP11)</f>
        <v>-0.23369192678630102</v>
      </c>
      <c r="AL11" s="34">
        <f>AL10-(AK10*AP11)</f>
        <v>-1.1902783359607573E-2</v>
      </c>
      <c r="AM11" s="34">
        <f>AM10-(AJ10*AP11)</f>
        <v>0.23616439244353055</v>
      </c>
      <c r="AN11" s="34">
        <f>AN10-(AI10*AP11)</f>
        <v>-0.32040704898272088</v>
      </c>
      <c r="AO11" s="34">
        <f>AO10-(AH10*AP11)</f>
        <v>0.27839946690521122</v>
      </c>
      <c r="AP11" s="39">
        <f>(AF11-(AH10*AF10+AI10*AF9+AJ10*AF8+AK10*AF7+AL10*AF6+AM10*AF5+AN10*AF4+AO10*AF3))/(1-(AH10*AF3+AI10*AF4+AJ10*AF5+AK10*AF6+AL10*AF7+AM10*AF8+AN10*AF9+AO10*AF10))</f>
        <v>-0.16056467700472077</v>
      </c>
      <c r="AQ11" s="34"/>
      <c r="AR11" s="34"/>
      <c r="AS11" s="34"/>
      <c r="AT11" s="34"/>
      <c r="AU11" s="34"/>
      <c r="AV11" s="34"/>
      <c r="AW11" s="34"/>
      <c r="AX11" s="34"/>
      <c r="AY11" s="44"/>
      <c r="AZ11" s="44"/>
      <c r="BA11" s="44"/>
    </row>
    <row r="12" spans="1:53">
      <c r="A12" s="38">
        <v>10</v>
      </c>
      <c r="B12" s="37">
        <v>4.9504067583999998</v>
      </c>
      <c r="C12" s="35">
        <f t="shared" si="7"/>
        <v>3.1708640416690823</v>
      </c>
      <c r="D12" s="48">
        <f>SUMPRODUCT($C$3:INDEX($C$3:$C$52,ROWS(C13:$C$52)),C13:$C$52)</f>
        <v>-53.821275573127508</v>
      </c>
      <c r="E12" s="69">
        <f t="shared" si="0"/>
        <v>-7.6563766708723974E-2</v>
      </c>
      <c r="F12" s="77">
        <f t="shared" si="1"/>
        <v>-0.4852655953722364</v>
      </c>
      <c r="G12" s="77">
        <f t="shared" si="2"/>
        <v>0.4852655953722364</v>
      </c>
      <c r="H12" s="34">
        <f>SQRT((1/COUNT($C$3:$C$52))*(1+2*SUMSQ($E$3:E12)))</f>
        <v>0.24758448743481448</v>
      </c>
      <c r="I12" s="34"/>
      <c r="J12" s="70">
        <f t="shared" si="3"/>
        <v>6.1712181103150306E-2</v>
      </c>
      <c r="K12" s="70">
        <f t="shared" si="4"/>
        <v>-0.27718585822512665</v>
      </c>
      <c r="L12" s="70">
        <f t="shared" si="5"/>
        <v>0.27718585822512665</v>
      </c>
      <c r="M12" s="40">
        <f t="shared" si="8"/>
        <v>0.1414213562373095</v>
      </c>
      <c r="N12" s="34"/>
      <c r="O12" s="34"/>
      <c r="P12" s="294">
        <v>9</v>
      </c>
      <c r="Q12" s="36">
        <f t="shared" si="14"/>
        <v>5.073537894400002</v>
      </c>
      <c r="R12" s="35">
        <f t="shared" si="15"/>
        <v>5.0590480984816351</v>
      </c>
      <c r="S12" s="48">
        <f>SUMPRODUCT($R$4:INDEX($R$4:$R$53,ROWS($R13:R$53)),$R13:R$53)</f>
        <v>26.786138110246021</v>
      </c>
      <c r="T12" s="66">
        <f t="shared" si="16"/>
        <v>6.467977371630633E-2</v>
      </c>
      <c r="U12" s="74">
        <f t="shared" si="9"/>
        <v>-0.35105662137754673</v>
      </c>
      <c r="V12" s="74">
        <f t="shared" si="10"/>
        <v>0.35105662137754673</v>
      </c>
      <c r="W12" s="34">
        <f>SQRT((1/COUNT($R$4:$R$52))*(1+2*SUMSQ($T$4:T12)))</f>
        <v>0.17911052111099324</v>
      </c>
      <c r="Z12" s="71">
        <f t="shared" si="11"/>
        <v>-0.13208176922036657</v>
      </c>
      <c r="AA12" s="74">
        <f t="shared" si="12"/>
        <v>-0.27999999999999997</v>
      </c>
      <c r="AB12" s="74">
        <f t="shared" si="13"/>
        <v>0.27999999999999997</v>
      </c>
      <c r="AC12" s="40">
        <f t="shared" si="17"/>
        <v>0.14285714285714285</v>
      </c>
      <c r="AE12" s="45">
        <v>10</v>
      </c>
      <c r="AF12" s="42">
        <f t="shared" si="6"/>
        <v>-7.6563766708723974E-2</v>
      </c>
      <c r="AG12" s="41">
        <f>AQ12</f>
        <v>6.1712181103150306E-2</v>
      </c>
      <c r="AH12" s="41">
        <f>AH11-(AP11*AQ12)</f>
        <v>0.82636395111135852</v>
      </c>
      <c r="AI12" s="41">
        <f>AI11-(AO11*AQ12)</f>
        <v>-0.193277021539287</v>
      </c>
      <c r="AJ12" s="41">
        <f>AJ11-(AN11*AQ12)</f>
        <v>0.27841275122615877</v>
      </c>
      <c r="AK12" s="34">
        <f>AK11-(AM11*AQ12)</f>
        <v>-0.24826614654289164</v>
      </c>
      <c r="AL12" s="34">
        <f>AL11-(AL11*AQ12)</f>
        <v>-1.1168236637287906E-2</v>
      </c>
      <c r="AM12" s="34">
        <f>AM11-(AK11*AQ12)</f>
        <v>0.25058603095171089</v>
      </c>
      <c r="AN12" s="34">
        <f>AN11-(AJ11*AQ12)</f>
        <v>-0.33636827105031619</v>
      </c>
      <c r="AO12" s="34">
        <f>AO11-(AI11*AQ12)</f>
        <v>0.28926675879800795</v>
      </c>
      <c r="AP12" s="34">
        <f>AP11-(AH11*AQ12)</f>
        <v>-0.21094990537325903</v>
      </c>
      <c r="AQ12" s="39">
        <f>(AF12-(AH11*AF11+AI11*AF10+AJ11*AF9+AK11*AF8+AL11*AF7+AM11*AF6+AN11*AF5+AO11*AF4+AP11*AF3))/(1-(AH11*AF3+AI11*AF4+AJ11*AF5+AK11*AF6+AL11*AF7+AM11*AF8+AN11*AF9+AO11*AF10+AP11*AF11))</f>
        <v>6.1712181103150306E-2</v>
      </c>
      <c r="AR12" s="34"/>
      <c r="AS12" s="34"/>
      <c r="AT12" s="34"/>
      <c r="AU12" s="34"/>
      <c r="AV12" s="34"/>
      <c r="AW12" s="34"/>
      <c r="AX12" s="34"/>
      <c r="AY12" s="44"/>
      <c r="AZ12" s="44"/>
      <c r="BA12" s="44"/>
    </row>
    <row r="13" spans="1:53">
      <c r="A13" s="38">
        <v>11</v>
      </c>
      <c r="B13" s="37">
        <v>3.2800263884799983</v>
      </c>
      <c r="C13" s="35">
        <f t="shared" si="7"/>
        <v>1.5004836717490806</v>
      </c>
      <c r="D13" s="48">
        <f>SUMPRODUCT($C$3:INDEX($C$3:$C$52,ROWS(C14:$C$52)),C14:$C$52)</f>
        <v>-9.4489897167500061</v>
      </c>
      <c r="E13" s="69">
        <f t="shared" si="0"/>
        <v>-1.3441714946414085E-2</v>
      </c>
      <c r="F13" s="77">
        <f t="shared" si="1"/>
        <v>-0.48529420150821856</v>
      </c>
      <c r="G13" s="77">
        <f t="shared" si="2"/>
        <v>0.48529420150821856</v>
      </c>
      <c r="H13" s="34">
        <f>SQRT((1/COUNT($C$3:$C$52))*(1+2*SUMSQ($E$3:E13)))</f>
        <v>0.24759908240215234</v>
      </c>
      <c r="I13" s="34"/>
      <c r="J13" s="70">
        <f t="shared" si="3"/>
        <v>5.7630126988092459E-2</v>
      </c>
      <c r="K13" s="70">
        <f t="shared" si="4"/>
        <v>-0.27718585822512665</v>
      </c>
      <c r="L13" s="70">
        <f t="shared" si="5"/>
        <v>0.27718585822512665</v>
      </c>
      <c r="M13" s="40">
        <f t="shared" si="8"/>
        <v>0.1414213562373095</v>
      </c>
      <c r="N13" s="34"/>
      <c r="O13" s="34"/>
      <c r="P13" s="294">
        <v>10</v>
      </c>
      <c r="Q13" s="36">
        <f t="shared" si="14"/>
        <v>-1.6703803699200015</v>
      </c>
      <c r="R13" s="35">
        <f t="shared" si="15"/>
        <v>-1.6848701658383689</v>
      </c>
      <c r="S13" s="48">
        <f>SUMPRODUCT($R$4:INDEX($R$4:$R$53,ROWS($R14:R$53)),$R14:R$53)</f>
        <v>-84.757988785356019</v>
      </c>
      <c r="T13" s="66">
        <f t="shared" si="16"/>
        <v>-0.20466285631481446</v>
      </c>
      <c r="U13" s="74">
        <f t="shared" si="9"/>
        <v>-0.36028962647097201</v>
      </c>
      <c r="V13" s="74">
        <f t="shared" si="10"/>
        <v>0.36028962647097201</v>
      </c>
      <c r="W13" s="34">
        <f>SQRT((1/COUNT($R$4:$R$52))*(1+2*SUMSQ($T$4:T13)))</f>
        <v>0.18382123799539388</v>
      </c>
      <c r="Z13" s="71">
        <f t="shared" si="11"/>
        <v>-0.11252631430978571</v>
      </c>
      <c r="AA13" s="74">
        <f t="shared" si="12"/>
        <v>-0.27999999999999997</v>
      </c>
      <c r="AB13" s="74">
        <f t="shared" si="13"/>
        <v>0.27999999999999997</v>
      </c>
      <c r="AC13" s="40">
        <f t="shared" si="17"/>
        <v>0.14285714285714285</v>
      </c>
      <c r="AE13" s="45">
        <v>11</v>
      </c>
      <c r="AF13" s="42">
        <f t="shared" si="6"/>
        <v>-1.3441714946414085E-2</v>
      </c>
      <c r="AG13" s="41">
        <f>AR13</f>
        <v>5.7630126988092459E-2</v>
      </c>
      <c r="AH13" s="41">
        <f>AH12-(AQ12*AR13)</f>
        <v>0.82280747027767176</v>
      </c>
      <c r="AI13" s="41">
        <f>AI12-(AP12*AR13)</f>
        <v>-0.18111995170449999</v>
      </c>
      <c r="AJ13" s="41">
        <f>AJ12-(AO12*AR13)</f>
        <v>0.26174227118319565</v>
      </c>
      <c r="AK13" s="34">
        <f>AK12-(AN12*AR13)</f>
        <v>-0.22888120036749682</v>
      </c>
      <c r="AL13" s="34">
        <f>AL12-(AM12*AR13)</f>
        <v>-2.5609541422477074E-2</v>
      </c>
      <c r="AM13" s="34">
        <f>AM12-(AL12*AR13)</f>
        <v>0.25122965784735085</v>
      </c>
      <c r="AN13" s="34">
        <f>AN12-(AK12*AR13)</f>
        <v>-0.322060661498205</v>
      </c>
      <c r="AO13" s="34">
        <f>AO12-(AJ12*AR13)</f>
        <v>0.27322179658974022</v>
      </c>
      <c r="AP13" s="34">
        <f>AP12-(AI12*AR13)</f>
        <v>-0.19981132607806965</v>
      </c>
      <c r="AQ13" s="34">
        <f>AQ12-(AH12*AR13)</f>
        <v>1.4088721662220888E-2</v>
      </c>
      <c r="AR13" s="39">
        <f>(AF13-(AH12*AF12+AI12*AF11+AJ12*AF10+AK12*AF9+AL12*AF8+AM12*AF7+AN12*AF6+AO12*AF5+AP12*AF4+AQ12*AF3))/(1-(AH12*AF3+AI12*AF4+AJ12*AF5+AK12*AF6+AL12*AF7+AM12*AF8+AN12*AF9+AO12*AF10+AP12*AF11+AQ12*AF12))</f>
        <v>5.7630126988092459E-2</v>
      </c>
      <c r="AS13" s="34"/>
      <c r="AT13" s="34"/>
      <c r="AU13" s="34"/>
      <c r="AV13" s="34"/>
      <c r="AW13" s="34"/>
      <c r="AX13" s="34"/>
      <c r="AY13" s="44"/>
      <c r="AZ13" s="44"/>
      <c r="BA13" s="44"/>
    </row>
    <row r="14" spans="1:53">
      <c r="A14" s="38">
        <v>12</v>
      </c>
      <c r="B14" s="37">
        <v>-8.8043970560002904E-2</v>
      </c>
      <c r="C14" s="35">
        <f t="shared" si="7"/>
        <v>-1.8675866872909206</v>
      </c>
      <c r="D14" s="48">
        <f>SUMPRODUCT($C$3:INDEX($C$3:$C$52,ROWS(C15:$C$52)),C15:$C$52)</f>
        <v>20.151171013687669</v>
      </c>
      <c r="E14" s="69">
        <f t="shared" si="0"/>
        <v>2.8666164819956715E-2</v>
      </c>
      <c r="F14" s="77">
        <f t="shared" si="1"/>
        <v>-0.4854242837525522</v>
      </c>
      <c r="G14" s="77">
        <f t="shared" si="2"/>
        <v>0.4854242837525522</v>
      </c>
      <c r="H14" s="34">
        <f>SQRT((1/COUNT($C$3:$C$52))*(1+2*SUMSQ($E$3:E14)))</f>
        <v>0.24766545089415928</v>
      </c>
      <c r="I14" s="34"/>
      <c r="J14" s="70">
        <f t="shared" si="3"/>
        <v>4.9158830755738896E-2</v>
      </c>
      <c r="K14" s="70">
        <f t="shared" si="4"/>
        <v>-0.27718585822512665</v>
      </c>
      <c r="L14" s="70">
        <f t="shared" si="5"/>
        <v>0.27718585822512665</v>
      </c>
      <c r="M14" s="40">
        <f t="shared" si="8"/>
        <v>0.1414213562373095</v>
      </c>
      <c r="N14" s="34"/>
      <c r="O14" s="34"/>
      <c r="P14" s="294">
        <v>11</v>
      </c>
      <c r="Q14" s="36">
        <f t="shared" si="14"/>
        <v>-3.3680703590400012</v>
      </c>
      <c r="R14" s="35">
        <f t="shared" si="15"/>
        <v>-3.3825601549583686</v>
      </c>
      <c r="S14" s="48">
        <f>SUMPRODUCT($R$4:INDEX($R$4:$R$53,ROWS($R15:R$53)),$R15:R$53)</f>
        <v>4.8381498336167148</v>
      </c>
      <c r="T14" s="66">
        <f t="shared" si="16"/>
        <v>1.1682551443435385E-2</v>
      </c>
      <c r="U14" s="74">
        <f t="shared" si="9"/>
        <v>-0.36031932410222289</v>
      </c>
      <c r="V14" s="74">
        <f t="shared" si="10"/>
        <v>0.36031932410222289</v>
      </c>
      <c r="W14" s="34">
        <f>SQRT((1/COUNT($R$4:$R$52))*(1+2*SUMSQ($T$4:T14)))</f>
        <v>0.18383638984807291</v>
      </c>
      <c r="Z14" s="71">
        <f t="shared" si="11"/>
        <v>-0.11311895824433384</v>
      </c>
      <c r="AA14" s="74">
        <f t="shared" si="12"/>
        <v>-0.27999999999999997</v>
      </c>
      <c r="AB14" s="74">
        <f t="shared" si="13"/>
        <v>0.27999999999999997</v>
      </c>
      <c r="AC14" s="40">
        <f t="shared" si="17"/>
        <v>0.14285714285714285</v>
      </c>
      <c r="AE14" s="45">
        <v>12</v>
      </c>
      <c r="AF14" s="42">
        <f t="shared" si="6"/>
        <v>2.8666164819956715E-2</v>
      </c>
      <c r="AG14" s="41">
        <f>AS14</f>
        <v>4.9158830755738896E-2</v>
      </c>
      <c r="AH14" s="41">
        <f>AH13-(AR13*AS14)</f>
        <v>0.81997444061863234</v>
      </c>
      <c r="AI14" s="41">
        <f>AI13-(AQ13*AS14)</f>
        <v>-0.18181253678825782</v>
      </c>
      <c r="AJ14" s="41">
        <f>AJ13-(AP13*AS14)</f>
        <v>0.27156476234494725</v>
      </c>
      <c r="AK14" s="34">
        <f>AK13-(AO13*AS14)</f>
        <v>-0.24231246442483079</v>
      </c>
      <c r="AL14" s="34">
        <f>AL13-(AN13*AS14)</f>
        <v>-9.7774158708055017E-3</v>
      </c>
      <c r="AM14" s="34">
        <f>AM13-(AM13*AS14)</f>
        <v>0.23887950161641075</v>
      </c>
      <c r="AN14" s="34">
        <f>AN13-(AL13*AS14)</f>
        <v>-0.32080172638568538</v>
      </c>
      <c r="AO14" s="34">
        <f>AO13-(AK13*AS14)</f>
        <v>0.28447332878177634</v>
      </c>
      <c r="AP14" s="34">
        <f>AP13-(AJ13*AS14)</f>
        <v>-0.21267827008878706</v>
      </c>
      <c r="AQ14" s="34">
        <f>AQ13-(AI13*AS14)</f>
        <v>2.2992366714550003E-2</v>
      </c>
      <c r="AR14" s="34">
        <f>AR13-(AH13*AS14)</f>
        <v>1.7181873812154733E-2</v>
      </c>
      <c r="AS14" s="39">
        <f>(AF14-(AH13*AF13+AI13*AF12+AJ13*AF11+AK13*AF10+AL13*AF9+AM13*AF8+AN13*AF7+AO13*AF6+AP13*AF5+AQ13*AF4+AR13*AF3))/(1-(AH13*AF3+AI13*AF4+AJ13*AF5+AK13*AF6+AL13*AF7+AM13*AF8+AN13*AF9+AO13*AF10+AP13*AF11+AQ13*AF12+AR13*AF13))</f>
        <v>4.9158830755738896E-2</v>
      </c>
      <c r="AT14" s="34"/>
      <c r="AU14" s="34"/>
      <c r="AV14" s="34"/>
      <c r="AW14" s="34"/>
      <c r="AX14" s="34"/>
      <c r="AY14" s="44"/>
      <c r="AZ14" s="44"/>
      <c r="BA14" s="44"/>
    </row>
    <row r="15" spans="1:53">
      <c r="A15" s="38">
        <v>13</v>
      </c>
      <c r="B15" s="37">
        <v>2.8647606013951963</v>
      </c>
      <c r="C15" s="35">
        <f t="shared" si="7"/>
        <v>1.0852178846642786</v>
      </c>
      <c r="D15" s="48">
        <f>SUMPRODUCT($C$3:INDEX($C$3:$C$52,ROWS(C16:$C$52)),C16:$C$52)</f>
        <v>-6.3185275484254841</v>
      </c>
      <c r="E15" s="69">
        <f t="shared" si="0"/>
        <v>-8.9884578915821276E-3</v>
      </c>
      <c r="F15" s="77">
        <f t="shared" si="1"/>
        <v>-0.48543707124222768</v>
      </c>
      <c r="G15" s="77">
        <f t="shared" si="2"/>
        <v>0.48543707124222768</v>
      </c>
      <c r="H15" s="34">
        <f>SQRT((1/COUNT($C$3:$C$52))*(1+2*SUMSQ($E$3:E15)))</f>
        <v>0.24767197512358555</v>
      </c>
      <c r="I15" s="34"/>
      <c r="J15" s="70">
        <f t="shared" si="3"/>
        <v>-4.7960665210238222E-2</v>
      </c>
      <c r="K15" s="70">
        <f t="shared" si="4"/>
        <v>-0.27718585822512665</v>
      </c>
      <c r="L15" s="70">
        <f t="shared" si="5"/>
        <v>0.27718585822512665</v>
      </c>
      <c r="M15" s="40">
        <f t="shared" si="8"/>
        <v>0.1414213562373095</v>
      </c>
      <c r="N15" s="34"/>
      <c r="O15" s="34"/>
      <c r="P15" s="294">
        <v>12</v>
      </c>
      <c r="Q15" s="36">
        <f t="shared" si="14"/>
        <v>2.9528045719551992</v>
      </c>
      <c r="R15" s="35">
        <f t="shared" si="15"/>
        <v>2.9383147760368318</v>
      </c>
      <c r="S15" s="48">
        <f>SUMPRODUCT($R$4:INDEX($R$4:$R$53,ROWS($R16:R$53)),$R16:R$53)</f>
        <v>60.452766227394548</v>
      </c>
      <c r="T15" s="66">
        <f t="shared" si="16"/>
        <v>0.14597368325436191</v>
      </c>
      <c r="U15" s="74">
        <f t="shared" si="9"/>
        <v>-0.36492623816613801</v>
      </c>
      <c r="V15" s="74">
        <f t="shared" si="10"/>
        <v>0.36492623816613801</v>
      </c>
      <c r="W15" s="34">
        <f>SQRT((1/COUNT($R$4:$R$52))*(1+2*SUMSQ($T$4:T15)))</f>
        <v>0.18618685620721326</v>
      </c>
      <c r="Z15" s="71">
        <f t="shared" si="11"/>
        <v>3.6600657857219139E-3</v>
      </c>
      <c r="AA15" s="74">
        <f t="shared" si="12"/>
        <v>-0.27999999999999997</v>
      </c>
      <c r="AB15" s="74">
        <f t="shared" si="13"/>
        <v>0.27999999999999997</v>
      </c>
      <c r="AC15" s="40">
        <f t="shared" si="17"/>
        <v>0.14285714285714285</v>
      </c>
      <c r="AE15" s="45">
        <v>13</v>
      </c>
      <c r="AF15" s="42">
        <f t="shared" si="6"/>
        <v>-8.9884578915821276E-3</v>
      </c>
      <c r="AG15" s="41">
        <f>AT15</f>
        <v>-4.7960665210238222E-2</v>
      </c>
      <c r="AH15" s="41">
        <f>AH14-(AS14*AT15)</f>
        <v>0.82233213084263512</v>
      </c>
      <c r="AI15" s="41">
        <f>AI14-(AR14*AT15)</f>
        <v>-0.1809884826906685</v>
      </c>
      <c r="AJ15" s="41">
        <f>AJ14-(AQ14*AT15)</f>
        <v>0.27266749154733483</v>
      </c>
      <c r="AK15" s="34">
        <f>AK14-(AP14*AT15)</f>
        <v>-0.25251265573405174</v>
      </c>
      <c r="AL15" s="34">
        <f>AL14-(AO14*AT15)</f>
        <v>3.8661142121392978E-3</v>
      </c>
      <c r="AM15" s="34">
        <f>AM14-(AN14*AT15)</f>
        <v>0.22349363741836045</v>
      </c>
      <c r="AN15" s="34">
        <f>AN14-(AM14*AT15)</f>
        <v>-0.30934490658307212</v>
      </c>
      <c r="AO15" s="34">
        <f>AO14-(AL14*AT15)</f>
        <v>0.28400439741257538</v>
      </c>
      <c r="AP15" s="34">
        <f>AP14-(AK14*AT15)</f>
        <v>-0.22429973707133413</v>
      </c>
      <c r="AQ15" s="34">
        <f>AQ14-(AJ14*AT15)</f>
        <v>3.6016793364273922E-2</v>
      </c>
      <c r="AR15" s="34">
        <f>AR14-(AI14*AT15)</f>
        <v>8.4620236042289784E-3</v>
      </c>
      <c r="AS15" s="34">
        <f>AS14-(AH14*AT15)</f>
        <v>8.8485350383201489E-2</v>
      </c>
      <c r="AT15" s="39">
        <f>(AF15-(AH14*AF14+AI14*AF13+AJ14*AF12+AK14*AF11+AL14*AF10+AM14*AF9+AN14*AF8+AO14*AF7+AP14*AF6+AQ14*AF5+AR14*AF4+AS14*AF3))/(1-(AH14*AF3+AI14*AF4+AJ14*AF5+AK14*AF6+AL14*AF7+AM14*AF8+AN14*AF9+AO14*AF10+AP14*AF11+AQ14*AF12+AR14*AF13+AS14*AF14))</f>
        <v>-4.7960665210238222E-2</v>
      </c>
      <c r="AU15" s="34"/>
      <c r="AV15" s="34"/>
      <c r="AW15" s="34"/>
      <c r="AX15" s="34"/>
      <c r="AY15" s="44"/>
      <c r="AZ15" s="44"/>
      <c r="BA15" s="44"/>
    </row>
    <row r="16" spans="1:53">
      <c r="A16" s="38">
        <v>14</v>
      </c>
      <c r="B16" s="37">
        <v>3.345895516405756</v>
      </c>
      <c r="C16" s="35">
        <f t="shared" si="7"/>
        <v>1.5663527996748383</v>
      </c>
      <c r="D16" s="48">
        <f>SUMPRODUCT($C$3:INDEX($C$3:$C$52,ROWS(C17:$C$52)),C17:$C$52)</f>
        <v>9.7850075312844051</v>
      </c>
      <c r="E16" s="69">
        <f t="shared" si="0"/>
        <v>1.3919719031007579E-2</v>
      </c>
      <c r="F16" s="77">
        <f t="shared" si="1"/>
        <v>-0.48546773719202635</v>
      </c>
      <c r="G16" s="77">
        <f t="shared" si="2"/>
        <v>0.48546773719202635</v>
      </c>
      <c r="H16" s="34">
        <f>SQRT((1/COUNT($C$3:$C$52))*(1+2*SUMSQ($E$3:E16)))</f>
        <v>0.24768762101633998</v>
      </c>
      <c r="I16" s="34"/>
      <c r="J16" s="70">
        <f t="shared" si="3"/>
        <v>-5.372183300272431E-2</v>
      </c>
      <c r="K16" s="70">
        <f t="shared" si="4"/>
        <v>-0.27718585822512665</v>
      </c>
      <c r="L16" s="70">
        <f t="shared" si="5"/>
        <v>0.27718585822512665</v>
      </c>
      <c r="M16" s="40">
        <f t="shared" si="8"/>
        <v>0.1414213562373095</v>
      </c>
      <c r="N16" s="34"/>
      <c r="O16" s="34"/>
      <c r="P16" s="294">
        <v>13</v>
      </c>
      <c r="Q16" s="36">
        <f t="shared" si="14"/>
        <v>0.48113491501055972</v>
      </c>
      <c r="R16" s="35">
        <f t="shared" si="15"/>
        <v>0.46664511909219231</v>
      </c>
      <c r="S16" s="48">
        <f>SUMPRODUCT($R$4:INDEX($R$4:$R$53,ROWS($R17:R$53)),$R17:R$53)</f>
        <v>-42.594880862318554</v>
      </c>
      <c r="T16" s="66">
        <f t="shared" si="16"/>
        <v>-0.10285272346124281</v>
      </c>
      <c r="U16" s="74">
        <f t="shared" si="9"/>
        <v>-0.36719190725439083</v>
      </c>
      <c r="V16" s="74">
        <f t="shared" si="10"/>
        <v>0.36719190725439083</v>
      </c>
      <c r="W16" s="34">
        <f>SQRT((1/COUNT($R$4:$R$52))*(1+2*SUMSQ($T$4:T16)))</f>
        <v>0.1873428098236688</v>
      </c>
      <c r="Z16" s="71">
        <f t="shared" si="11"/>
        <v>-1.7231463230406509E-2</v>
      </c>
      <c r="AA16" s="74">
        <f t="shared" si="12"/>
        <v>-0.27999999999999997</v>
      </c>
      <c r="AB16" s="74">
        <f t="shared" si="13"/>
        <v>0.27999999999999997</v>
      </c>
      <c r="AC16" s="40">
        <f t="shared" si="17"/>
        <v>0.14285714285714285</v>
      </c>
      <c r="AE16" s="45">
        <v>14</v>
      </c>
      <c r="AF16" s="42">
        <f t="shared" si="6"/>
        <v>1.3919719031007579E-2</v>
      </c>
      <c r="AG16" s="41">
        <f>AU16</f>
        <v>-5.372183300272431E-2</v>
      </c>
      <c r="AH16" s="41">
        <f>AH15-(AT15*AU16)</f>
        <v>0.81975559599551118</v>
      </c>
      <c r="AI16" s="41">
        <f>AI15-(AS15*AU16)</f>
        <v>-0.17623488747419461</v>
      </c>
      <c r="AJ16" s="41">
        <f>AJ15-(AR15*AU16)</f>
        <v>0.27312208696626633</v>
      </c>
      <c r="AK16" s="34">
        <f>AK15-(AQ15*AU16)</f>
        <v>-0.2505777675756426</v>
      </c>
      <c r="AL16" s="34">
        <f>AL15-(AP15*AU16)</f>
        <v>-8.1836788053618863E-3</v>
      </c>
      <c r="AM16" s="34">
        <f>AM15-(AO15*AU16)</f>
        <v>0.23875087422819818</v>
      </c>
      <c r="AN16" s="34">
        <f>AN15-(AN15*AU16)</f>
        <v>-0.32596348199477126</v>
      </c>
      <c r="AO16" s="34">
        <f>AO15-(AM15*AU16)</f>
        <v>0.29601088527913594</v>
      </c>
      <c r="AP16" s="34">
        <f>AP15-(AL15*AU16)</f>
        <v>-0.22409204232926014</v>
      </c>
      <c r="AQ16" s="34">
        <f>AQ15-(AK15*AU16)</f>
        <v>2.245135064185478E-2</v>
      </c>
      <c r="AR16" s="34">
        <f>AR15-(AJ15*AU16)</f>
        <v>2.3110221050406644E-2</v>
      </c>
      <c r="AS16" s="34">
        <f>AS15-(AI15*AU16)</f>
        <v>7.8762317340676929E-2</v>
      </c>
      <c r="AT16" s="34">
        <f>AT15-(AH15*AU16)</f>
        <v>-3.7834758043357383E-3</v>
      </c>
      <c r="AU16" s="39">
        <f>(AF16-(AH15*AF15+AI15*AF14+AJ15*AF13+AK15*AF12+AL15*AF11+AM15*AF10+AN15*AF9+AO15*AF8+AP15*AF7+AQ15*AF6+AR15*AF5+AS15*AF4+AT15*AF3))/(1-(AH15*AF3+AI15*AF4+AJ15*AF5+AK15*AF6+AL15*AF7+AM15*AF8+AN15*AF9+AO15*AF10+AP15*AF11+AQ15*AF12+AR15*AF13+AS15*AF14+AT15*AF15))</f>
        <v>-5.372183300272431E-2</v>
      </c>
      <c r="AV16" s="34"/>
      <c r="AW16" s="34"/>
      <c r="AX16" s="34"/>
      <c r="AY16" s="44"/>
      <c r="AZ16" s="44"/>
      <c r="BA16" s="44"/>
    </row>
    <row r="17" spans="1:53">
      <c r="A17" s="38">
        <v>15</v>
      </c>
      <c r="B17" s="37">
        <v>1.8383547169013719</v>
      </c>
      <c r="C17" s="35">
        <f t="shared" si="7"/>
        <v>5.8812000170454182E-2</v>
      </c>
      <c r="D17" s="48">
        <f>SUMPRODUCT($C$3:INDEX($C$3:$C$52,ROWS(C18:$C$52)),C18:$C$52)</f>
        <v>21.178351551576966</v>
      </c>
      <c r="E17" s="69">
        <f t="shared" si="0"/>
        <v>3.0127386432288111E-2</v>
      </c>
      <c r="F17" s="77">
        <f t="shared" si="1"/>
        <v>-0.48561136563143015</v>
      </c>
      <c r="G17" s="77">
        <f t="shared" si="2"/>
        <v>0.48561136563143015</v>
      </c>
      <c r="H17" s="34">
        <f>SQRT((1/COUNT($C$3:$C$52))*(1+2*SUMSQ($E$3:E17)))</f>
        <v>0.24776090083236232</v>
      </c>
      <c r="I17" s="34"/>
      <c r="J17" s="70">
        <f t="shared" si="3"/>
        <v>0.10442496575142324</v>
      </c>
      <c r="K17" s="70">
        <f t="shared" si="4"/>
        <v>-0.27718585822512665</v>
      </c>
      <c r="L17" s="70">
        <f t="shared" si="5"/>
        <v>0.27718585822512665</v>
      </c>
      <c r="M17" s="40">
        <f t="shared" si="8"/>
        <v>0.1414213562373095</v>
      </c>
      <c r="N17" s="34"/>
      <c r="O17" s="34"/>
      <c r="P17" s="294">
        <v>14</v>
      </c>
      <c r="Q17" s="36">
        <f t="shared" si="14"/>
        <v>-1.5075407995043841</v>
      </c>
      <c r="R17" s="35">
        <f t="shared" si="15"/>
        <v>-1.5220305954227515</v>
      </c>
      <c r="S17" s="48">
        <f>SUMPRODUCT($R$4:INDEX($R$4:$R$53,ROWS($R18:R$53)),$R18:R$53)</f>
        <v>-4.2906948102910771</v>
      </c>
      <c r="T17" s="66">
        <f t="shared" si="16"/>
        <v>-1.0360626390901852E-2</v>
      </c>
      <c r="U17" s="74">
        <f t="shared" si="9"/>
        <v>-0.36721482550346135</v>
      </c>
      <c r="V17" s="74">
        <f t="shared" si="10"/>
        <v>0.36721482550346135</v>
      </c>
      <c r="W17" s="34">
        <f>SQRT((1/COUNT($R$4:$R$52))*(1+2*SUMSQ($T$4:T17)))</f>
        <v>0.18735450280788846</v>
      </c>
      <c r="Z17" s="71">
        <f t="shared" si="11"/>
        <v>-0.14984868598341647</v>
      </c>
      <c r="AA17" s="74">
        <f t="shared" si="12"/>
        <v>-0.27999999999999997</v>
      </c>
      <c r="AB17" s="74">
        <f t="shared" si="13"/>
        <v>0.27999999999999997</v>
      </c>
      <c r="AC17" s="40">
        <f t="shared" si="17"/>
        <v>0.14285714285714285</v>
      </c>
      <c r="AE17" s="45">
        <v>15</v>
      </c>
      <c r="AF17" s="42">
        <f t="shared" si="6"/>
        <v>3.0127386432288111E-2</v>
      </c>
      <c r="AG17" s="41">
        <f>AV17</f>
        <v>0.10442496575142324</v>
      </c>
      <c r="AH17" s="41">
        <f>AH16-(AU16*AV17)</f>
        <v>0.82536549656692437</v>
      </c>
      <c r="AI17" s="41">
        <f>AI16-(AT16*AV17)</f>
        <v>-0.17583979814290551</v>
      </c>
      <c r="AJ17" s="41">
        <f>AJ16-(AS16*AV17)</f>
        <v>0.26489733467546339</v>
      </c>
      <c r="AK17" s="34">
        <f>AK16-(AR16*AV17)</f>
        <v>-0.25299105161733915</v>
      </c>
      <c r="AL17" s="34">
        <f>AL16-(AQ16*AV17)</f>
        <v>-1.0528160327210765E-2</v>
      </c>
      <c r="AM17" s="34">
        <f>AM16-(AP16*AV17)</f>
        <v>0.26215167807359768</v>
      </c>
      <c r="AN17" s="34">
        <f>AN16-(AO16*AV17)</f>
        <v>-0.35687440855209351</v>
      </c>
      <c r="AO17" s="34">
        <f>AO16-(AN16*AV17)</f>
        <v>0.3300496107226546</v>
      </c>
      <c r="AP17" s="34">
        <f>AP16-(AM16*AV17)</f>
        <v>-0.2490235941936621</v>
      </c>
      <c r="AQ17" s="34">
        <f>AQ16-(AL16*AV17)</f>
        <v>2.3305931020825343E-2</v>
      </c>
      <c r="AR17" s="34">
        <f>AR16-(AK16*AV17)</f>
        <v>4.9276795847561214E-2</v>
      </c>
      <c r="AS17" s="34">
        <f>AS16-(AJ16*AV17)</f>
        <v>5.0241552763267333E-2</v>
      </c>
      <c r="AT17" s="34">
        <f>AT16-(AI16*AV17)</f>
        <v>1.4619846284362963E-2</v>
      </c>
      <c r="AU17" s="34">
        <f>AU16-(AH16*AV17)</f>
        <v>-0.1393247830390931</v>
      </c>
      <c r="AV17" s="39">
        <f>(AF17-(AH16*AF16+AI16*AF15+AJ16*AF14+AK16*AF13+AL16*AF12+AM16*AF11+AN16*AF10+AO16*AF9+AP16*AF8+AQ16*AF7+AR16*AF6+AS16*AF5+AT16*AF4+AU16*AF3))/(1-(AH16*AF3+AI16*AF4+AJ16*AF5+AK16*AF6+AL16*AF7+AM16*AF8+AN16*AF9+AO16*AF10+AP16*AF11+AQ16*AF12+AR16*AF13+AS16*AF14+AT16*AF15+AU16*AF16))</f>
        <v>0.10442496575142324</v>
      </c>
      <c r="AW17" s="34"/>
      <c r="AX17" s="34"/>
      <c r="AY17" s="44"/>
      <c r="AZ17" s="44"/>
      <c r="BA17" s="44"/>
    </row>
    <row r="18" spans="1:53">
      <c r="A18" s="38">
        <v>16</v>
      </c>
      <c r="B18" s="37">
        <v>4.535340490896175</v>
      </c>
      <c r="C18" s="35">
        <f t="shared" si="7"/>
        <v>2.7557977741652575</v>
      </c>
      <c r="D18" s="48">
        <f>SUMPRODUCT($C$3:INDEX($C$3:$C$52,ROWS(C19:$C$52)),C19:$C$52)</f>
        <v>41.498952709844914</v>
      </c>
      <c r="E18" s="69">
        <f t="shared" si="0"/>
        <v>5.9034575083897506E-2</v>
      </c>
      <c r="F18" s="77">
        <f t="shared" si="1"/>
        <v>-0.48616245219649545</v>
      </c>
      <c r="G18" s="77">
        <f t="shared" si="2"/>
        <v>0.48616245219649545</v>
      </c>
      <c r="H18" s="34">
        <f>SQRT((1/COUNT($C$3:$C$52))*(1+2*SUMSQ($E$3:E18)))</f>
        <v>0.24804206744719157</v>
      </c>
      <c r="I18" s="34"/>
      <c r="J18" s="70">
        <f t="shared" si="3"/>
        <v>6.6177400349948456E-2</v>
      </c>
      <c r="K18" s="70">
        <f t="shared" si="4"/>
        <v>-0.27718585822512665</v>
      </c>
      <c r="L18" s="70">
        <f t="shared" si="5"/>
        <v>0.27718585822512665</v>
      </c>
      <c r="M18" s="40">
        <f t="shared" si="8"/>
        <v>0.1414213562373095</v>
      </c>
      <c r="N18" s="34"/>
      <c r="O18" s="34"/>
      <c r="P18" s="294">
        <v>15</v>
      </c>
      <c r="Q18" s="36">
        <f t="shared" si="14"/>
        <v>2.6969857739948031</v>
      </c>
      <c r="R18" s="35">
        <f t="shared" si="15"/>
        <v>2.6824959780764357</v>
      </c>
      <c r="S18" s="48">
        <f>SUMPRODUCT($R$4:INDEX($R$4:$R$53,ROWS($R19:R$53)),$R19:R$53)</f>
        <v>-4.6782693715132702</v>
      </c>
      <c r="T18" s="66">
        <f t="shared" si="16"/>
        <v>-1.1296492353172063E-2</v>
      </c>
      <c r="U18" s="74">
        <f t="shared" si="9"/>
        <v>-0.36724206925880493</v>
      </c>
      <c r="V18" s="74">
        <f t="shared" si="10"/>
        <v>0.36724206925880493</v>
      </c>
      <c r="W18" s="34">
        <f>SQRT((1/COUNT($R$4:$R$52))*(1+2*SUMSQ($T$4:T18)))</f>
        <v>0.18736840268306373</v>
      </c>
      <c r="Z18" s="71">
        <f t="shared" si="11"/>
        <v>-0.10483463853500861</v>
      </c>
      <c r="AA18" s="74">
        <f t="shared" si="12"/>
        <v>-0.27999999999999997</v>
      </c>
      <c r="AB18" s="74">
        <f t="shared" si="13"/>
        <v>0.27999999999999997</v>
      </c>
      <c r="AC18" s="40">
        <f t="shared" si="17"/>
        <v>0.14285714285714285</v>
      </c>
      <c r="AE18" s="45">
        <v>16</v>
      </c>
      <c r="AF18" s="42">
        <f t="shared" si="6"/>
        <v>5.9034575083897506E-2</v>
      </c>
      <c r="AG18" s="41">
        <f>AW18</f>
        <v>6.6177400349948456E-2</v>
      </c>
      <c r="AH18" s="41">
        <f>AH17-(AV17*AW18)</f>
        <v>0.8184549238018628</v>
      </c>
      <c r="AI18" s="41">
        <f>AI17-(AU17*AW18)</f>
        <v>-0.16661964619705774</v>
      </c>
      <c r="AJ18" s="41">
        <f>AJ17-(AT17*AW18)</f>
        <v>0.26392983125484842</v>
      </c>
      <c r="AK18" s="34">
        <f>AK17-(AS17*AW18)</f>
        <v>-0.25631590696875695</v>
      </c>
      <c r="AL18" s="34">
        <f>AL17-(AR17*AW18)</f>
        <v>-1.3789170573977501E-2</v>
      </c>
      <c r="AM18" s="34">
        <f>AM17-(AQ17*AW18)</f>
        <v>0.26060935214590425</v>
      </c>
      <c r="AN18" s="34">
        <f>AN17-(AP17*AW18)</f>
        <v>-0.34039467446255645</v>
      </c>
      <c r="AO18" s="34">
        <f>AO17-(AO17*AW18)</f>
        <v>0.30820778549851685</v>
      </c>
      <c r="AP18" s="34">
        <f>AP17-(AN17*AW18)</f>
        <v>-0.22540657358425914</v>
      </c>
      <c r="AQ18" s="34">
        <f>AQ17-(AM17*AW18)</f>
        <v>5.9574144685380637E-3</v>
      </c>
      <c r="AR18" s="34">
        <f>AR17-(AL17*AW18)</f>
        <v>4.9973522128483487E-2</v>
      </c>
      <c r="AS18" s="34">
        <f>AS17-(AK17*AW18)</f>
        <v>6.6983842871102456E-2</v>
      </c>
      <c r="AT18" s="34">
        <f>AT17-(AJ17*AW18)</f>
        <v>-2.9103706840894611E-3</v>
      </c>
      <c r="AU18" s="34">
        <f>AU17-(AI17*AW18)</f>
        <v>-0.12768816231993591</v>
      </c>
      <c r="AV18" s="34">
        <f>AV17-(AH17*AW18)</f>
        <v>4.9804422850079876E-2</v>
      </c>
      <c r="AW18" s="39">
        <f>(AF18-(AH17*AF17+AI17*AF16+AJ17*AF15+AK17*AF14+AL17*AF13+AM17*AF12+AN17*AF11+AO17*AF10+AP17*AF9+AQ17*AF8+AR17*AF7+AS17*AF6+AT17*AF5+AU17*AF4+AV17*AF3))/(1-(AH17*AF3+AI17*AF4+AJ17*AF5+AK17*AF6+AL17*AF7+AM17*AF8+AN17*AF9+AO17*AF10+AP17*AF11+AQ17*AF12+AR17*AF13+AS17*AF14+AT17*AF15+AU17*AF16+AV17*AF17))</f>
        <v>6.6177400349948456E-2</v>
      </c>
      <c r="AX18" s="34"/>
      <c r="AY18" s="44"/>
      <c r="AZ18" s="44"/>
      <c r="BA18" s="44"/>
    </row>
    <row r="19" spans="1:53">
      <c r="A19" s="38">
        <v>17</v>
      </c>
      <c r="B19" s="37">
        <v>0.91413563801271902</v>
      </c>
      <c r="C19" s="35">
        <f t="shared" si="7"/>
        <v>-0.86540707871819866</v>
      </c>
      <c r="D19" s="48">
        <f>SUMPRODUCT($C$3:INDEX($C$3:$C$52,ROWS(C20:$C$52)),C20:$C$52)</f>
        <v>68.416330933630221</v>
      </c>
      <c r="E19" s="69">
        <f t="shared" si="0"/>
        <v>9.7326047086195647E-2</v>
      </c>
      <c r="F19" s="77">
        <f t="shared" si="1"/>
        <v>-0.48765714448464381</v>
      </c>
      <c r="G19" s="77">
        <f t="shared" si="2"/>
        <v>0.48765714448464381</v>
      </c>
      <c r="H19" s="34">
        <f>SQRT((1/COUNT($C$3:$C$52))*(1+2*SUMSQ($E$3:E19)))</f>
        <v>0.2488046655533897</v>
      </c>
      <c r="I19" s="34"/>
      <c r="J19" s="70">
        <f t="shared" si="3"/>
        <v>-2.608068429162334E-3</v>
      </c>
      <c r="K19" s="70">
        <f t="shared" si="4"/>
        <v>-0.27718585822512665</v>
      </c>
      <c r="L19" s="70">
        <f t="shared" si="5"/>
        <v>0.27718585822512665</v>
      </c>
      <c r="M19" s="40">
        <f t="shared" si="8"/>
        <v>0.1414213562373095</v>
      </c>
      <c r="N19" s="34"/>
      <c r="O19" s="34"/>
      <c r="P19" s="294">
        <v>16</v>
      </c>
      <c r="Q19" s="36">
        <f t="shared" si="14"/>
        <v>-3.6212048528834559</v>
      </c>
      <c r="R19" s="35">
        <f t="shared" si="15"/>
        <v>-3.6356946488018234</v>
      </c>
      <c r="S19" s="48">
        <f>SUMPRODUCT($R$4:INDEX($R$4:$R$53,ROWS($R20:R$53)),$R20:R$53)</f>
        <v>-8.7774126061013629</v>
      </c>
      <c r="T19" s="66">
        <f t="shared" si="16"/>
        <v>-2.1194584259988214E-2</v>
      </c>
      <c r="U19" s="74">
        <f t="shared" si="9"/>
        <v>-0.36733795560017374</v>
      </c>
      <c r="V19" s="74">
        <f t="shared" si="10"/>
        <v>0.36733795560017374</v>
      </c>
      <c r="W19" s="34">
        <f>SQRT((1/COUNT($R$4:$R$52))*(1+2*SUMSQ($T$4:T19)))</f>
        <v>0.18741732428580293</v>
      </c>
      <c r="Z19" s="71">
        <f t="shared" si="11"/>
        <v>-3.8546459666535124E-2</v>
      </c>
      <c r="AA19" s="74">
        <f t="shared" si="12"/>
        <v>-0.27999999999999997</v>
      </c>
      <c r="AB19" s="74">
        <f t="shared" si="13"/>
        <v>0.27999999999999997</v>
      </c>
      <c r="AC19" s="40">
        <f t="shared" si="17"/>
        <v>0.14285714285714285</v>
      </c>
      <c r="AE19" s="45">
        <v>17</v>
      </c>
      <c r="AF19" s="42">
        <f t="shared" si="6"/>
        <v>9.7326047086195647E-2</v>
      </c>
      <c r="AG19" s="41">
        <f>AX19</f>
        <v>-2.608068429162334E-3</v>
      </c>
      <c r="AH19" s="41">
        <f>AH18-(AW18*AX19)</f>
        <v>0.81862751899043951</v>
      </c>
      <c r="AI19" s="41">
        <f>AI18-(AV18*AX19)</f>
        <v>-0.16648975285418979</v>
      </c>
      <c r="AJ19" s="41">
        <f>AJ18-(AU18*AX19)</f>
        <v>0.26359681178992406</v>
      </c>
      <c r="AK19" s="34">
        <f>AK18-(AT18*AX19)</f>
        <v>-0.25632349741465527</v>
      </c>
      <c r="AL19" s="34">
        <f>AL18-(AS18*AX19)</f>
        <v>-1.3614472128121408E-2</v>
      </c>
      <c r="AM19" s="34">
        <f>AM18-(AR18*AX19)</f>
        <v>0.26073968651126161</v>
      </c>
      <c r="AN19" s="34">
        <f>AN18-(AQ18*AX19)</f>
        <v>-0.34037913711796164</v>
      </c>
      <c r="AO19" s="34">
        <f>AO18-(AP18*AX19)</f>
        <v>0.30761990973022607</v>
      </c>
      <c r="AP19" s="34">
        <f>AP18-(AO18*AX19)</f>
        <v>-0.22460274658927842</v>
      </c>
      <c r="AQ19" s="34">
        <f>AQ18-(AN18*AX19)</f>
        <v>5.0696418646172803E-3</v>
      </c>
      <c r="AR19" s="34">
        <f>AR18-(AM18*AX19)</f>
        <v>5.0653209152159671E-2</v>
      </c>
      <c r="AS19" s="34">
        <f>AS18-(AL18*AX19)</f>
        <v>6.6947879770664132E-2</v>
      </c>
      <c r="AT19" s="34">
        <f>AT18-(AK18*AX19)</f>
        <v>-3.5788601089467862E-3</v>
      </c>
      <c r="AU19" s="34">
        <f>AU18-(AJ18*AX19)</f>
        <v>-0.126999815259526</v>
      </c>
      <c r="AV19" s="34">
        <f>AV18-(AI18*AX19)</f>
        <v>4.9369867411155129E-2</v>
      </c>
      <c r="AW19" s="34">
        <f>AW18-(AH18*AX19)</f>
        <v>6.8311986797408561E-2</v>
      </c>
      <c r="AX19" s="39">
        <f>(AF19-(AH18*AF18+AI18*AF17+AJ18*AF16+AK18*AF15+AL18*AF14+AM18*AF13+AN18*AF12+AO18*AF11+AP18*AF10+AQ18*AF9+AR18*AF8+AS18*AF7+AT18*AF6+AU18*AF5+AV18*AF4+AW18*AF3))/(1-(AH18*AF3+AI18*AF4+AJ18*AF5+AK18*AF6+AL18*AF7+AM18*AF8+AN18*AF9+AO18*AF10+AP18*AF11+AQ18*AF12+AR18*AF13+AS18*AF14+AT18*AF15+AU18*AF16+AV18*AF17+AW18*AF18))</f>
        <v>-2.608068429162334E-3</v>
      </c>
      <c r="AY19" s="44"/>
      <c r="AZ19" s="44"/>
      <c r="BA19" s="44"/>
    </row>
    <row r="20" spans="1:53">
      <c r="A20" s="38">
        <v>18</v>
      </c>
      <c r="B20" s="37">
        <v>1.7656540318667853</v>
      </c>
      <c r="C20" s="35">
        <f t="shared" si="7"/>
        <v>-1.3888684864132417E-2</v>
      </c>
      <c r="D20" s="48">
        <f>SUMPRODUCT($C$3:INDEX($C$3:$C$52,ROWS(C21:$C$52)),C21:$C$52)</f>
        <v>62.52141260167879</v>
      </c>
      <c r="E20" s="69">
        <f t="shared" si="0"/>
        <v>8.8940196934404414E-2</v>
      </c>
      <c r="F20" s="77">
        <f t="shared" si="1"/>
        <v>-0.48890185918602252</v>
      </c>
      <c r="G20" s="77">
        <f t="shared" si="2"/>
        <v>0.48890185918602252</v>
      </c>
      <c r="H20" s="34">
        <f>SQRT((1/COUNT($C$3:$C$52))*(1+2*SUMSQ($E$3:E20)))</f>
        <v>0.2494397240745013</v>
      </c>
      <c r="I20" s="34"/>
      <c r="J20" s="70">
        <f t="shared" si="3"/>
        <v>2.1199531290187666E-2</v>
      </c>
      <c r="K20" s="70">
        <f t="shared" si="4"/>
        <v>-0.27718585822512665</v>
      </c>
      <c r="L20" s="70">
        <f t="shared" si="5"/>
        <v>0.27718585822512665</v>
      </c>
      <c r="M20" s="40">
        <f t="shared" si="8"/>
        <v>0.1414213562373095</v>
      </c>
      <c r="N20" s="34"/>
      <c r="O20" s="34"/>
      <c r="P20" s="294">
        <v>17</v>
      </c>
      <c r="Q20" s="36">
        <f t="shared" si="14"/>
        <v>0.85151839385406625</v>
      </c>
      <c r="R20" s="35">
        <f t="shared" si="15"/>
        <v>0.83702859793569884</v>
      </c>
      <c r="S20" s="48">
        <f>SUMPRODUCT($R$4:INDEX($R$4:$R$53,ROWS($R21:R$53)),$R21:R$53)</f>
        <v>24.482481539477835</v>
      </c>
      <c r="T20" s="66">
        <f t="shared" si="16"/>
        <v>5.9117195598321709E-2</v>
      </c>
      <c r="U20" s="74">
        <f t="shared" si="9"/>
        <v>-0.36808309520809501</v>
      </c>
      <c r="V20" s="74">
        <f t="shared" si="10"/>
        <v>0.36808309520809501</v>
      </c>
      <c r="W20" s="34">
        <f>SQRT((1/COUNT($R$4:$R$52))*(1+2*SUMSQ($T$4:T20)))</f>
        <v>0.18779749755515052</v>
      </c>
      <c r="Z20" s="71">
        <f t="shared" si="11"/>
        <v>-2.2925008978743205E-2</v>
      </c>
      <c r="AA20" s="74">
        <f t="shared" si="12"/>
        <v>-0.27999999999999997</v>
      </c>
      <c r="AB20" s="74">
        <f t="shared" si="13"/>
        <v>0.27999999999999997</v>
      </c>
      <c r="AC20" s="40">
        <f t="shared" si="17"/>
        <v>0.14285714285714285</v>
      </c>
      <c r="AE20" s="43">
        <v>18</v>
      </c>
      <c r="AF20" s="42">
        <f t="shared" si="6"/>
        <v>8.8940196934404414E-2</v>
      </c>
      <c r="AG20" s="41">
        <f>AX20</f>
        <v>2.1199531290187666E-2</v>
      </c>
      <c r="AH20" s="41">
        <f>AH19-(AX19*AY20)</f>
        <v>0.81855167027076936</v>
      </c>
      <c r="AI20" s="41">
        <f>AI19-(AW19*AY20)</f>
        <v>-0.16450308077198092</v>
      </c>
      <c r="AJ20" s="41">
        <f>AJ19-(AV19*AY20)</f>
        <v>0.26503260281118324</v>
      </c>
      <c r="AK20" s="34">
        <f>AK19-(AU19*AY20)</f>
        <v>-0.26001694858260399</v>
      </c>
      <c r="AL20" s="34">
        <f>AL19-(AT19*AY20)</f>
        <v>-1.3718553736604874E-2</v>
      </c>
      <c r="AM20" s="34">
        <f>AM19-(AS19*AY20)</f>
        <v>0.26268668717598975</v>
      </c>
      <c r="AN20" s="34">
        <f>AN19-(AR19*AY20)</f>
        <v>-0.33890602352231519</v>
      </c>
      <c r="AO20" s="34">
        <f>AO19-(AQ19*AY20)</f>
        <v>0.30776734675308859</v>
      </c>
      <c r="AP20" s="34">
        <f>AP19-(AP19*AY20)</f>
        <v>-0.23113471889978487</v>
      </c>
      <c r="AQ20" s="34">
        <f>AQ19-(AO19*AY20)</f>
        <v>1.4015947121483845E-2</v>
      </c>
      <c r="AR20" s="34">
        <f>AR19-(AN19*AY20)</f>
        <v>4.0754189071188246E-2</v>
      </c>
      <c r="AS20" s="34">
        <f>AS19-(AM19*AY20)</f>
        <v>7.4530798672613988E-2</v>
      </c>
      <c r="AT20" s="34">
        <f>AT19-(AL19*AY20)</f>
        <v>-3.974800747756837E-3</v>
      </c>
      <c r="AU20" s="34">
        <f>AU19-(AK19*AY20)</f>
        <v>-0.13445430107089684</v>
      </c>
      <c r="AV20" s="34">
        <f>AV19-(AJ19*AY20)</f>
        <v>5.7035878187497772E-2</v>
      </c>
      <c r="AW20" s="34">
        <f>AW19-(AI19*AY20)</f>
        <v>6.3470076036560616E-2</v>
      </c>
      <c r="AX20" s="40">
        <f>AX19-(AH19*AY20)</f>
        <v>2.1199531290187666E-2</v>
      </c>
      <c r="AY20" s="39">
        <f>(AF20-(AH19*AF19+AI19*AF18+AJ19*AF17+AK19*AF16+AL19*AF15+AM19*AF14+AN19*AF13+AO19*AF12+AP19*AF11+AQ19*AF10+AR19*AF9+AS19*AF8+AT19*AF7+AU19*AF6+AV19*AF5+AW19*AF4+AX19*AF3))/(1-(AH19*AF3+AI19*AF4+AJ19*AF5+AK19*AF6+AL19*AF7+AM19*AF8+AN19*AF9+AO19*AF10+AP19*AF11+AQ19*AF12+AR19*AF13+AS19*AF14+AT19*AF15+AU19*AF16+AV19*AF17+AW19*AF18+AX19*AF19))</f>
        <v>-2.9082334965614614E-2</v>
      </c>
      <c r="AZ20" s="44"/>
      <c r="BA20" s="44"/>
    </row>
    <row r="21" spans="1:53">
      <c r="A21" s="38">
        <v>19</v>
      </c>
      <c r="B21" s="37">
        <v>2.4062615234113913</v>
      </c>
      <c r="C21" s="35">
        <f t="shared" si="7"/>
        <v>0.62671880668047364</v>
      </c>
      <c r="D21" s="48">
        <f>SUMPRODUCT($C$3:INDEX($C$3:$C$52,ROWS(C22:$C$52)),C22:$C$52)</f>
        <v>-7.7562682464059778</v>
      </c>
      <c r="E21" s="69">
        <f t="shared" si="0"/>
        <v>-1.1033724233110049E-2</v>
      </c>
      <c r="F21" s="77">
        <f t="shared" si="1"/>
        <v>-0.48892099100235753</v>
      </c>
      <c r="G21" s="77">
        <f t="shared" si="2"/>
        <v>0.48892099100235753</v>
      </c>
      <c r="H21" s="34">
        <f>SQRT((1/COUNT($C$3:$C$52))*(1+2*SUMSQ($E$3:E21)))</f>
        <v>0.24944948520528445</v>
      </c>
      <c r="I21" s="34"/>
      <c r="J21" s="70">
        <f t="shared" si="3"/>
        <v>-1.4498822102356673E-2</v>
      </c>
      <c r="K21" s="70">
        <f t="shared" si="4"/>
        <v>-0.27718585822512665</v>
      </c>
      <c r="L21" s="70">
        <f t="shared" si="5"/>
        <v>0.27718585822512665</v>
      </c>
      <c r="M21" s="40">
        <f t="shared" si="8"/>
        <v>0.1414213562373095</v>
      </c>
      <c r="N21" s="34"/>
      <c r="P21" s="294">
        <v>18</v>
      </c>
      <c r="Q21" s="36">
        <f t="shared" si="14"/>
        <v>0.64060749154460606</v>
      </c>
      <c r="R21" s="35">
        <f t="shared" si="15"/>
        <v>0.62611769562623865</v>
      </c>
      <c r="S21" s="48">
        <f>SUMPRODUCT($R$4:INDEX($R$4:$R$53,ROWS($R22:R$53)),$R22:R$53)</f>
        <v>70.847890732287908</v>
      </c>
      <c r="T21" s="66">
        <f t="shared" si="16"/>
        <v>0.17107451331661525</v>
      </c>
      <c r="U21" s="74">
        <f t="shared" si="9"/>
        <v>-0.37426481329384065</v>
      </c>
      <c r="V21" s="74">
        <f t="shared" si="10"/>
        <v>0.37426481329384065</v>
      </c>
      <c r="W21" s="34">
        <f>SQRT((1/COUNT($R$4:$R$52))*(1+2*SUMSQ($T$4:T21)))</f>
        <v>0.19095143535400033</v>
      </c>
      <c r="Z21" s="71">
        <f t="shared" si="11"/>
        <v>-2.3050699688338186E-3</v>
      </c>
      <c r="AA21" s="74">
        <f t="shared" si="12"/>
        <v>-0.27999999999999997</v>
      </c>
      <c r="AB21" s="74">
        <f t="shared" si="13"/>
        <v>0.27999999999999997</v>
      </c>
      <c r="AC21" s="40">
        <f t="shared" si="17"/>
        <v>0.14285714285714285</v>
      </c>
      <c r="AE21" s="43">
        <v>19</v>
      </c>
      <c r="AF21" s="42">
        <f t="shared" si="6"/>
        <v>-1.1033724233110049E-2</v>
      </c>
      <c r="AG21" s="41">
        <f>AX21</f>
        <v>-1.4498822102356673E-2</v>
      </c>
      <c r="AH21" s="41">
        <f>AH20-(AY20*AZ21)</f>
        <v>0.81224059411212945</v>
      </c>
      <c r="AI21" s="41">
        <f>AI20-(AX20*AZ21)</f>
        <v>-0.15990262978831568</v>
      </c>
      <c r="AJ21" s="41">
        <f>AJ20-(AW20*AZ21)</f>
        <v>0.27880606646652606</v>
      </c>
      <c r="AK21" s="34">
        <f>AK20-(AV20*AZ21)</f>
        <v>-0.24763975220405321</v>
      </c>
      <c r="AL21" s="34">
        <f>AL20-(AU20*AZ21)</f>
        <v>-4.2896105501908685E-2</v>
      </c>
      <c r="AM21" s="34">
        <f>AM20-(AT20*AZ21)</f>
        <v>0.26182412678446093</v>
      </c>
      <c r="AN21" s="34">
        <f>AN20-(AR20*AZ21)</f>
        <v>-0.33006207095399559</v>
      </c>
      <c r="AO21" s="34">
        <f>AO20-(AR20*AZ21)</f>
        <v>0.31661129932140819</v>
      </c>
      <c r="AP21" s="34">
        <f>AP20-(AQ20*AZ21)</f>
        <v>-0.22809315742187261</v>
      </c>
      <c r="AQ21" s="34">
        <f>AQ20-(AP20*AZ21)</f>
        <v>-3.6141951671961089E-2</v>
      </c>
      <c r="AR21" s="34">
        <f>AR20-(AO20*AZ21)</f>
        <v>0.10754192007001596</v>
      </c>
      <c r="AS21" s="34">
        <f>AS20-(AN20*AZ21)</f>
        <v>9.8575053256592937E-4</v>
      </c>
      <c r="AT21" s="34">
        <f>AT20-(AM20*AZ21)</f>
        <v>5.3030102420734165E-2</v>
      </c>
      <c r="AU21" s="34">
        <f>AU20-(AL20*AZ21)</f>
        <v>-0.13743132604225741</v>
      </c>
      <c r="AV21" s="34">
        <f>AV20-(AK20*AZ21)</f>
        <v>6.1032752307629834E-4</v>
      </c>
      <c r="AW21" s="34">
        <f>AW20-(AJ20*AZ21)</f>
        <v>0.1209840597947964</v>
      </c>
      <c r="AX21" s="40">
        <f>AX20-(AI20*AZ21)</f>
        <v>-1.4498822102356673E-2</v>
      </c>
      <c r="AY21" s="40">
        <f>AY20-(AH20*AZ21)</f>
        <v>0.14854927325871251</v>
      </c>
      <c r="AZ21" s="39">
        <f>(AF21-(AH20*AF20+AI20*AF19+AJ20*AF18+AK20*AF17+AL20*AF16+AM20*AF15+AN20*AF14+AO20*AF13+AP20*AF12+AQ20*AF11+AR20*AF10+AS20*AF9+AT20*AF8+AU20*AF7+AV20*AF6+AW20*AF5+AX20*AF4+AY20*AF3))/(1-(AH20*AF3+AI20*AF4+AJ20*AF5+AK20*AF6+AL20*AF7+AM20*AF8+AN20*AF9+AO20*AF10+AP20*AF11+AQ20*AF12+AR20*AF13+AS20*AF14+AT20*AF15+AU20*AF16+AV20*AF17+AW20*AF18+AX20*AF19+AY20*AF20))</f>
        <v>-0.2170072026920038</v>
      </c>
      <c r="BA21" s="44"/>
    </row>
    <row r="22" spans="1:53">
      <c r="A22" s="38">
        <v>20</v>
      </c>
      <c r="B22" s="37">
        <v>4.962504573630425</v>
      </c>
      <c r="C22" s="35">
        <f t="shared" si="7"/>
        <v>3.1829618568995075</v>
      </c>
      <c r="D22" s="48">
        <f>SUMPRODUCT($C$3:INDEX($C$3:$C$52,ROWS(C23:$C$52)),C23:$C$52)</f>
        <v>-9.2450402918698078</v>
      </c>
      <c r="E22" s="69">
        <f t="shared" si="0"/>
        <v>-1.3151585513013913E-2</v>
      </c>
      <c r="F22" s="77">
        <f t="shared" si="1"/>
        <v>-0.48894817088704567</v>
      </c>
      <c r="G22" s="77">
        <f t="shared" si="2"/>
        <v>0.48894817088704567</v>
      </c>
      <c r="H22" s="34">
        <f>SQRT((1/COUNT($C$3:$C$52))*(1+2*SUMSQ($E$3:E22)))</f>
        <v>0.24946335249339066</v>
      </c>
      <c r="I22" s="34"/>
      <c r="J22" s="70">
        <f t="shared" si="3"/>
        <v>-5.5157030994916596E-2</v>
      </c>
      <c r="K22" s="70">
        <f t="shared" si="4"/>
        <v>-0.27718585822512665</v>
      </c>
      <c r="L22" s="70">
        <f t="shared" si="5"/>
        <v>0.27718585822512665</v>
      </c>
      <c r="M22" s="40">
        <f t="shared" si="8"/>
        <v>0.1414213562373095</v>
      </c>
      <c r="N22" s="34"/>
      <c r="P22" s="294">
        <v>19</v>
      </c>
      <c r="Q22" s="36">
        <f t="shared" si="14"/>
        <v>2.5562430502190336</v>
      </c>
      <c r="R22" s="35">
        <f t="shared" si="15"/>
        <v>2.5417532543006662</v>
      </c>
      <c r="S22" s="48">
        <f>SUMPRODUCT($R$4:INDEX($R$4:$R$53,ROWS($R23:R$53)),$R23:R$53)</f>
        <v>-64.418718177961026</v>
      </c>
      <c r="T22" s="66">
        <f t="shared" si="16"/>
        <v>-0.15555016171783487</v>
      </c>
      <c r="U22" s="74">
        <f t="shared" si="9"/>
        <v>-0.37929943341712369</v>
      </c>
      <c r="V22" s="74">
        <f t="shared" si="10"/>
        <v>0.37929943341712369</v>
      </c>
      <c r="W22" s="34">
        <f>SQRT((1/COUNT($R$4:$R$52))*(1+2*SUMSQ($T$4:T22)))</f>
        <v>0.19352011909036923</v>
      </c>
      <c r="Z22" s="71">
        <f t="shared" si="11"/>
        <v>-5.1369699112283007E-2</v>
      </c>
      <c r="AA22" s="74">
        <f t="shared" si="12"/>
        <v>-0.27999999999999997</v>
      </c>
      <c r="AB22" s="74">
        <f t="shared" si="13"/>
        <v>0.27999999999999997</v>
      </c>
      <c r="AC22" s="40">
        <f t="shared" si="17"/>
        <v>0.14285714285714285</v>
      </c>
      <c r="AE22" s="43">
        <v>20</v>
      </c>
      <c r="AF22" s="42">
        <f t="shared" si="6"/>
        <v>-1.3151585513013913E-2</v>
      </c>
      <c r="AG22" s="41">
        <f>AX22</f>
        <v>-5.5157030994916596E-2</v>
      </c>
      <c r="AH22" s="41">
        <f>AH21-(AZ21*BA22)</f>
        <v>0.84388669238417302</v>
      </c>
      <c r="AI22" s="41">
        <f>AI21-(AY21*BA22)</f>
        <v>-0.18156552780031371</v>
      </c>
      <c r="AJ22" s="41">
        <f>AJ21-(AX21*BA22)</f>
        <v>0.28092042554488011</v>
      </c>
      <c r="AK22" s="34">
        <f>AK21-(AW21*AI22)</f>
        <v>-0.2256732175319863</v>
      </c>
      <c r="AL22" s="34">
        <f>AL21-(AV21*BA22)</f>
        <v>-4.2985109389953903E-2</v>
      </c>
      <c r="AM22" s="34">
        <f>AM21-(AU21*BA22)</f>
        <v>0.28186569773527981</v>
      </c>
      <c r="AN22" s="34">
        <f>AN21-(AR21*BA22)</f>
        <v>-0.34574487838472506</v>
      </c>
      <c r="AO22" s="34">
        <f>AO21-(AS21*BA22)</f>
        <v>0.31646754760331625</v>
      </c>
      <c r="AP22" s="34">
        <f>AP21-(AR21*BA22)</f>
        <v>-0.24377596485260208</v>
      </c>
      <c r="AQ22" s="34">
        <f>AQ21-(AQ21*BA22)</f>
        <v>-3.0871381201645207E-2</v>
      </c>
      <c r="AR22" s="34">
        <f>AR21-(AP21*BA22)</f>
        <v>0.14080467994807438</v>
      </c>
      <c r="AS22" s="34">
        <f>AS21-(AO21*BA22)</f>
        <v>-4.5185584649267946E-2</v>
      </c>
      <c r="AT22" s="34">
        <f>AT21-(AN21*BA22)</f>
        <v>0.1011629597808149</v>
      </c>
      <c r="AU22" s="34">
        <f>AU21-(AM21*BA22)</f>
        <v>-0.17561306353035758</v>
      </c>
      <c r="AV22" s="34">
        <f>AV21-(AL21*BA22)</f>
        <v>6.8658543137147992E-3</v>
      </c>
      <c r="AW22" s="34">
        <f>AW21-(AK21*BA22)</f>
        <v>0.15709729399668929</v>
      </c>
      <c r="AX22" s="40">
        <f>AX21-(AJ21*BA22)</f>
        <v>-5.5157030994916596E-2</v>
      </c>
      <c r="AY22" s="40">
        <f>AY21-(AH21*BA22)</f>
        <v>3.0100459841688507E-2</v>
      </c>
      <c r="AZ22" s="40">
        <f>AZ21-(AH21*BA22)</f>
        <v>-0.33545601610902781</v>
      </c>
      <c r="BA22" s="39">
        <f>(AF22-(AH21*AF21+AI21*AF20+AJ21*AF19+AK21*AF18+AL21*AF17+AM21*AF16+AN21*AF15+AO21*AF14+AP21*AF13+AQ21*AF12+AR21*AF11+AS21*AF10+AT21*AF9+AU21*AF8+AV21*AF7+AW21*AF6+AX21*AF5+AY21*AF4+AZ21*AF3))/(1-(AH21*AF3+AI21*AF4+AJ21*AF5+AK21*AF6+AL21*AF7+AM21*AF8+AN21*AF9+AO21*AF10+AP21*AF11+AQ21*AF12+AR21*AF13+AS21*AF14+AT21*AF15+AU21*AF16+AV21*AF17+AW21*AF18+AX21*AF19+AY21*AF20+AZ21*AF21))</f>
        <v>0.14582971385036708</v>
      </c>
    </row>
    <row r="23" spans="1:53">
      <c r="A23" s="38">
        <v>21</v>
      </c>
      <c r="B23" s="37">
        <v>1.2850018151585152</v>
      </c>
      <c r="C23" s="35">
        <f t="shared" si="7"/>
        <v>-0.49454090157240249</v>
      </c>
      <c r="D23" s="35"/>
      <c r="P23" s="294">
        <v>20</v>
      </c>
      <c r="Q23" s="36">
        <f t="shared" si="14"/>
        <v>-3.6775027584719098</v>
      </c>
      <c r="R23" s="35">
        <f t="shared" si="15"/>
        <v>-3.6919925543902772</v>
      </c>
      <c r="S23" s="48">
        <f>SUMPRODUCT($R$4:INDEX($R$4:$R$53,ROWS($R24:R$53)),$R24:R$53)</f>
        <v>-8.1861064800904426</v>
      </c>
      <c r="T23" s="66">
        <f t="shared" ref="T23" si="18">S23/$S$2</f>
        <v>-1.9766773118641837E-2</v>
      </c>
      <c r="U23" s="74">
        <f t="shared" ref="U23" si="19">-1.96*W23</f>
        <v>-0.37938018651565397</v>
      </c>
      <c r="V23" s="74">
        <f t="shared" ref="V23" si="20">1.96*W23</f>
        <v>0.37938018651565397</v>
      </c>
      <c r="W23" s="34">
        <f>SQRT((1/COUNT($R$4:$R$52))*(1+2*SUMSQ($T$4:T23)))</f>
        <v>0.19356131965084386</v>
      </c>
      <c r="Z23" s="71">
        <f t="shared" si="11"/>
        <v>-5.1792374058407115E-2</v>
      </c>
      <c r="AA23" s="74">
        <f t="shared" si="12"/>
        <v>-0.27999999999999997</v>
      </c>
      <c r="AB23" s="74">
        <f t="shared" si="13"/>
        <v>0.27999999999999997</v>
      </c>
      <c r="AC23" s="40">
        <f t="shared" si="17"/>
        <v>0.14285714285714285</v>
      </c>
    </row>
    <row r="24" spans="1:53">
      <c r="A24" s="38">
        <v>22</v>
      </c>
      <c r="B24" s="37">
        <v>2.1140007203459419</v>
      </c>
      <c r="C24" s="35">
        <f t="shared" si="7"/>
        <v>0.3344580036150242</v>
      </c>
      <c r="D24" s="35"/>
      <c r="P24" s="294">
        <v>21</v>
      </c>
      <c r="Q24" s="36">
        <f t="shared" si="14"/>
        <v>0.82899890518742669</v>
      </c>
      <c r="R24" s="35">
        <f t="shared" si="15"/>
        <v>0.81450910926905928</v>
      </c>
      <c r="S24" s="48"/>
      <c r="V24" s="34"/>
    </row>
    <row r="25" spans="1:53">
      <c r="A25" s="38">
        <v>23</v>
      </c>
      <c r="B25" s="37">
        <v>2.7456002858513884</v>
      </c>
      <c r="C25" s="35">
        <f t="shared" si="7"/>
        <v>0.96605756912047069</v>
      </c>
      <c r="D25" s="35"/>
      <c r="P25" s="294">
        <v>22</v>
      </c>
      <c r="Q25" s="36">
        <f t="shared" si="14"/>
        <v>0.63159956550544649</v>
      </c>
      <c r="R25" s="35">
        <f t="shared" si="15"/>
        <v>0.61710976958707908</v>
      </c>
      <c r="S25" s="48"/>
      <c r="V25" s="34"/>
    </row>
    <row r="26" spans="1:53" ht="18">
      <c r="A26" s="38">
        <v>24</v>
      </c>
      <c r="B26" s="37">
        <v>1.2982401134257575</v>
      </c>
      <c r="C26" s="35">
        <f t="shared" si="7"/>
        <v>-0.48130260330516017</v>
      </c>
      <c r="D26" s="35"/>
      <c r="P26" s="294">
        <v>23</v>
      </c>
      <c r="Q26" s="36">
        <f t="shared" si="14"/>
        <v>-1.4473601724256309</v>
      </c>
      <c r="R26" s="35">
        <f t="shared" si="15"/>
        <v>-1.4618499683439983</v>
      </c>
      <c r="S26" s="48"/>
      <c r="V26" s="34"/>
      <c r="AE26" s="47" t="s">
        <v>120</v>
      </c>
      <c r="AF26" s="47" t="s">
        <v>119</v>
      </c>
      <c r="AG26" s="47" t="s">
        <v>118</v>
      </c>
      <c r="AH26" s="47" t="s">
        <v>117</v>
      </c>
      <c r="AI26" s="47" t="s">
        <v>116</v>
      </c>
      <c r="AJ26" s="47" t="s">
        <v>115</v>
      </c>
      <c r="AK26" s="47" t="s">
        <v>114</v>
      </c>
      <c r="AL26" s="47" t="s">
        <v>113</v>
      </c>
      <c r="AM26" s="47" t="s">
        <v>112</v>
      </c>
      <c r="AN26" s="47" t="s">
        <v>111</v>
      </c>
      <c r="AO26" s="47" t="s">
        <v>110</v>
      </c>
      <c r="AP26" s="47" t="s">
        <v>109</v>
      </c>
      <c r="AQ26" s="47" t="s">
        <v>108</v>
      </c>
      <c r="AR26" s="47" t="s">
        <v>107</v>
      </c>
      <c r="AS26" s="47" t="s">
        <v>106</v>
      </c>
      <c r="AT26" s="47" t="s">
        <v>105</v>
      </c>
      <c r="AU26" s="47" t="s">
        <v>104</v>
      </c>
      <c r="AV26" s="47" t="s">
        <v>103</v>
      </c>
      <c r="AW26" s="47" t="s">
        <v>102</v>
      </c>
      <c r="AX26" s="47" t="s">
        <v>101</v>
      </c>
      <c r="AY26" s="47" t="s">
        <v>100</v>
      </c>
      <c r="AZ26" s="47" t="s">
        <v>99</v>
      </c>
      <c r="BA26" s="47" t="s">
        <v>98</v>
      </c>
    </row>
    <row r="27" spans="1:53">
      <c r="A27" s="38">
        <v>25</v>
      </c>
      <c r="B27" s="37">
        <v>1.9296045004381313E-2</v>
      </c>
      <c r="C27" s="35">
        <f t="shared" si="7"/>
        <v>-1.7602466717265364</v>
      </c>
      <c r="D27" s="35"/>
      <c r="P27" s="294">
        <v>24</v>
      </c>
      <c r="Q27" s="36">
        <f t="shared" si="14"/>
        <v>-1.2789440684213762</v>
      </c>
      <c r="R27" s="35">
        <f t="shared" si="15"/>
        <v>-1.2934338643397436</v>
      </c>
      <c r="S27" s="48"/>
      <c r="V27" s="34"/>
      <c r="AE27" s="45">
        <v>1</v>
      </c>
      <c r="AF27" s="42">
        <f>T4</f>
        <v>-0.14775995664735794</v>
      </c>
      <c r="AG27" s="34">
        <f>AH27</f>
        <v>-0.14775995664735794</v>
      </c>
      <c r="AH27" s="39">
        <f>AF27</f>
        <v>-0.14775995664735794</v>
      </c>
      <c r="AI27" s="34"/>
      <c r="AJ27" s="34"/>
      <c r="AK27" s="34"/>
      <c r="AL27" s="34"/>
      <c r="AM27" s="41"/>
      <c r="AN27" s="34"/>
      <c r="AO27" s="34"/>
      <c r="AP27" s="34"/>
      <c r="AQ27" s="34"/>
      <c r="AR27" s="34"/>
      <c r="AS27" s="34"/>
      <c r="AT27" s="34"/>
      <c r="AU27" s="34"/>
      <c r="AV27" s="34"/>
      <c r="AW27" s="34"/>
      <c r="AX27" s="34"/>
      <c r="AY27" s="44"/>
      <c r="AZ27" s="44"/>
      <c r="BA27" s="44"/>
    </row>
    <row r="28" spans="1:53">
      <c r="A28" s="38">
        <v>26</v>
      </c>
      <c r="B28" s="37">
        <v>0.8077184178553809</v>
      </c>
      <c r="C28" s="35">
        <f t="shared" si="7"/>
        <v>-0.97182429887553679</v>
      </c>
      <c r="D28" s="35"/>
      <c r="P28" s="294">
        <v>25</v>
      </c>
      <c r="Q28" s="36">
        <f t="shared" si="14"/>
        <v>0.78842237285099959</v>
      </c>
      <c r="R28" s="35">
        <f t="shared" si="15"/>
        <v>0.77393257693263218</v>
      </c>
      <c r="S28" s="48"/>
      <c r="V28" s="34"/>
      <c r="AE28" s="45">
        <v>2</v>
      </c>
      <c r="AF28" s="42">
        <f t="shared" ref="AF28:AF46" si="21">T5</f>
        <v>-0.20736815845039902</v>
      </c>
      <c r="AG28" s="34">
        <f>AI28</f>
        <v>-0.2343170075874963</v>
      </c>
      <c r="AH28" s="34">
        <f>AH27-(AH27*AI28)</f>
        <v>-0.18238262753022505</v>
      </c>
      <c r="AI28" s="39">
        <f>(AF28-(AH27*AF27))/(1-(AH27*AF27))</f>
        <v>-0.2343170075874963</v>
      </c>
      <c r="AJ28" s="34"/>
      <c r="AK28" s="34"/>
      <c r="AL28" s="34"/>
      <c r="AM28" s="41"/>
      <c r="AN28" s="34"/>
      <c r="AO28" s="34"/>
      <c r="AP28" s="34"/>
      <c r="AQ28" s="34"/>
      <c r="AR28" s="34"/>
      <c r="AS28" s="34"/>
      <c r="AT28" s="34"/>
      <c r="AU28" s="34"/>
      <c r="AV28" s="34"/>
      <c r="AW28" s="34"/>
      <c r="AX28" s="34"/>
      <c r="AY28" s="44"/>
      <c r="AZ28" s="44"/>
      <c r="BA28" s="44"/>
    </row>
    <row r="29" spans="1:53">
      <c r="A29" s="38">
        <v>27</v>
      </c>
      <c r="B29" s="37">
        <v>-0.57691263291639938</v>
      </c>
      <c r="C29" s="35">
        <f t="shared" si="7"/>
        <v>-2.3564553496473168</v>
      </c>
      <c r="D29" s="35"/>
      <c r="P29" s="294">
        <v>26</v>
      </c>
      <c r="Q29" s="36">
        <f t="shared" si="14"/>
        <v>-1.3846310507717803</v>
      </c>
      <c r="R29" s="35">
        <f t="shared" si="15"/>
        <v>-1.3991208466901477</v>
      </c>
      <c r="S29" s="48"/>
      <c r="V29" s="34"/>
      <c r="AE29" s="45">
        <v>3</v>
      </c>
      <c r="AF29" s="42">
        <f t="shared" si="21"/>
        <v>0.19019261541793583</v>
      </c>
      <c r="AG29" s="34">
        <f>AJ29</f>
        <v>0.12737104241324604</v>
      </c>
      <c r="AH29" s="34">
        <f>AH28-(AI28*AJ29)</f>
        <v>-0.15253742601865317</v>
      </c>
      <c r="AI29" s="34">
        <f>AI28-(AH28*AJ29)</f>
        <v>-0.21108674220090473</v>
      </c>
      <c r="AJ29" s="39">
        <f>(AF29-(AH28*AF28+AI28*AF27))/(1-(AH28*AF27+AI28*AF28))</f>
        <v>0.12737104241324604</v>
      </c>
      <c r="AK29" s="34"/>
      <c r="AL29" s="34"/>
      <c r="AM29" s="41"/>
      <c r="AN29" s="34"/>
      <c r="AO29" s="34"/>
      <c r="AP29" s="34"/>
      <c r="AQ29" s="34"/>
      <c r="AR29" s="34"/>
      <c r="AS29" s="34"/>
      <c r="AT29" s="34"/>
      <c r="AU29" s="34"/>
      <c r="AV29" s="34"/>
      <c r="AW29" s="34"/>
      <c r="AX29" s="34"/>
      <c r="AY29" s="44"/>
      <c r="AZ29" s="44"/>
      <c r="BA29" s="44"/>
    </row>
    <row r="30" spans="1:53">
      <c r="A30" s="38">
        <v>28</v>
      </c>
      <c r="B30" s="37">
        <v>-1.8307650531899835</v>
      </c>
      <c r="C30" s="35">
        <f t="shared" si="7"/>
        <v>-3.610307769920901</v>
      </c>
      <c r="D30" s="35"/>
      <c r="P30" s="294">
        <v>27</v>
      </c>
      <c r="Q30" s="36">
        <f t="shared" si="14"/>
        <v>-1.2538524202735841</v>
      </c>
      <c r="R30" s="35">
        <f t="shared" si="15"/>
        <v>-1.2683422161919515</v>
      </c>
      <c r="S30" s="48"/>
      <c r="V30" s="34"/>
      <c r="AE30" s="45">
        <v>4</v>
      </c>
      <c r="AF30" s="42">
        <f t="shared" si="21"/>
        <v>-0.21219808837982135</v>
      </c>
      <c r="AG30" s="41">
        <f>AK30</f>
        <v>-0.22885905161243128</v>
      </c>
      <c r="AH30" s="41">
        <f>AH29-(AJ29*AK30)</f>
        <v>-0.12338741004907092</v>
      </c>
      <c r="AI30" s="41">
        <f>AI29-(AI29*AK30)</f>
        <v>-0.25939585382896158</v>
      </c>
      <c r="AJ30" s="41">
        <f>AJ29-(AH29*AK30)</f>
        <v>9.246147175921568E-2</v>
      </c>
      <c r="AK30" s="39">
        <f>(AF30-(AH29*AF29+AI29*AF28+AJ29*AF27))/(1-(AH29*AF27+AI29*AF28+AJ29*AF29))</f>
        <v>-0.22885905161243128</v>
      </c>
      <c r="AL30" s="34"/>
      <c r="AM30" s="41"/>
      <c r="AN30" s="34"/>
      <c r="AO30" s="34"/>
      <c r="AP30" s="34"/>
      <c r="AQ30" s="34"/>
      <c r="AR30" s="34"/>
      <c r="AS30" s="34"/>
      <c r="AT30" s="34"/>
      <c r="AU30" s="34"/>
      <c r="AV30" s="34"/>
      <c r="AW30" s="34"/>
      <c r="AX30" s="34"/>
      <c r="AY30" s="44"/>
      <c r="AZ30" s="44"/>
      <c r="BA30" s="44"/>
    </row>
    <row r="31" spans="1:53">
      <c r="A31" s="38">
        <v>29</v>
      </c>
      <c r="B31" s="37">
        <v>-3.0323060212853661</v>
      </c>
      <c r="C31" s="35">
        <f t="shared" si="7"/>
        <v>-4.811848738016284</v>
      </c>
      <c r="D31" s="35"/>
      <c r="P31" s="294">
        <v>28</v>
      </c>
      <c r="Q31" s="36">
        <f t="shared" si="14"/>
        <v>-1.2015409680953826</v>
      </c>
      <c r="R31" s="35">
        <f t="shared" si="15"/>
        <v>-1.21603076401375</v>
      </c>
      <c r="S31" s="48"/>
      <c r="V31" s="34"/>
      <c r="AE31" s="45">
        <v>5</v>
      </c>
      <c r="AF31" s="42">
        <f t="shared" si="21"/>
        <v>-0.11172781109599152</v>
      </c>
      <c r="AG31" s="41">
        <f>AL31</f>
        <v>-0.11976605372778258</v>
      </c>
      <c r="AH31" s="41">
        <f>AH30-(AK30*AL31)</f>
        <v>-0.15079695552057473</v>
      </c>
      <c r="AI31" s="41">
        <f>AI30-(AJ30*AL31)</f>
        <v>-0.24832210823449749</v>
      </c>
      <c r="AJ31" s="41">
        <f>AJ30-(AI30*AL31)</f>
        <v>6.1394653992772233E-2</v>
      </c>
      <c r="AK31" s="34">
        <f>AK30-(AH30*AL31)</f>
        <v>-0.24363667479370024</v>
      </c>
      <c r="AL31" s="39">
        <f>(AF31-(AH30*AF30+AI30*AF29+AJ30*AF28+AK30*AF27))/(1-(AH30*AF27+AI30*AF28+AJ30*AF29+AK30*AF30))</f>
        <v>-0.11976605372778258</v>
      </c>
      <c r="AM31" s="41"/>
      <c r="AN31" s="34"/>
      <c r="AO31" s="34"/>
      <c r="AP31" s="34"/>
      <c r="AQ31" s="34"/>
      <c r="AR31" s="34"/>
      <c r="AS31" s="34"/>
      <c r="AT31" s="34"/>
      <c r="AU31" s="34"/>
      <c r="AV31" s="34"/>
      <c r="AW31" s="34"/>
      <c r="AX31" s="34"/>
      <c r="AY31" s="44"/>
      <c r="AZ31" s="44"/>
      <c r="BA31" s="44"/>
    </row>
    <row r="32" spans="1:53">
      <c r="A32" s="38">
        <v>30</v>
      </c>
      <c r="B32" s="37">
        <v>-6.2129224085178993</v>
      </c>
      <c r="C32" s="35">
        <f t="shared" si="7"/>
        <v>-7.9924651252488168</v>
      </c>
      <c r="D32" s="35"/>
      <c r="P32" s="294">
        <v>29</v>
      </c>
      <c r="Q32" s="36">
        <f t="shared" si="14"/>
        <v>-3.1806163872325333</v>
      </c>
      <c r="R32" s="35">
        <f t="shared" si="15"/>
        <v>-3.1951061831509007</v>
      </c>
      <c r="S32" s="48"/>
      <c r="V32" s="34"/>
      <c r="AE32" s="45">
        <v>6</v>
      </c>
      <c r="AF32" s="42">
        <f t="shared" si="21"/>
        <v>0.24486771824525294</v>
      </c>
      <c r="AG32" s="41">
        <f>AM32</f>
        <v>0.11234116596202119</v>
      </c>
      <c r="AH32" s="41">
        <f>AH31-(AL31*AM32)</f>
        <v>-0.13734229740212556</v>
      </c>
      <c r="AI32" s="41">
        <f>AI31-(AK31*AM32)</f>
        <v>-0.22095168011706343</v>
      </c>
      <c r="AJ32" s="41">
        <f>AJ31-(AJ31*AM32)</f>
        <v>5.4497506979389342E-2</v>
      </c>
      <c r="AK32" s="34">
        <f>AK31-(AI31*AM32)</f>
        <v>-0.21573987962048957</v>
      </c>
      <c r="AL32" s="34">
        <f>AL31-(AH31*AM32)</f>
        <v>-0.10282534792107817</v>
      </c>
      <c r="AM32" s="46">
        <f>(AF32-(AH31*AF31+AI31*AF30+AJ31*AF29+AK31*AF28+AL31*AF27))/(1-(AH31*AF27+AI31*AF28+AJ31*AF29+AK31*AF30+AL31*AF31))</f>
        <v>0.11234116596202119</v>
      </c>
      <c r="AN32" s="34"/>
      <c r="AO32" s="34"/>
      <c r="AP32" s="34"/>
      <c r="AQ32" s="34"/>
      <c r="AR32" s="34"/>
      <c r="AS32" s="34"/>
      <c r="AT32" s="34"/>
      <c r="AU32" s="34"/>
      <c r="AV32" s="34"/>
      <c r="AW32" s="34"/>
      <c r="AX32" s="34"/>
      <c r="AY32" s="44"/>
      <c r="AZ32" s="44"/>
      <c r="BA32" s="44"/>
    </row>
    <row r="33" spans="1:53">
      <c r="A33" s="38">
        <v>31</v>
      </c>
      <c r="B33" s="37">
        <v>-1.1851689634086644</v>
      </c>
      <c r="C33" s="35">
        <f t="shared" si="7"/>
        <v>-2.9647116801395823</v>
      </c>
      <c r="D33" s="35"/>
      <c r="P33" s="294">
        <v>30</v>
      </c>
      <c r="Q33" s="36">
        <f t="shared" si="14"/>
        <v>5.0277534451092354</v>
      </c>
      <c r="R33" s="35">
        <f t="shared" si="15"/>
        <v>5.0132636491908684</v>
      </c>
      <c r="S33" s="48"/>
      <c r="V33" s="34"/>
      <c r="AE33" s="45">
        <v>7</v>
      </c>
      <c r="AF33" s="42">
        <f t="shared" si="21"/>
        <v>-0.24717810932101456</v>
      </c>
      <c r="AG33" s="41">
        <f>AN33</f>
        <v>-0.22695857926700613</v>
      </c>
      <c r="AH33" s="41">
        <f>AH32-(AM32*AN33)</f>
        <v>-0.11184550598218627</v>
      </c>
      <c r="AI33" s="41">
        <f>AI32-(AL32*AN33)</f>
        <v>-0.24428877499386692</v>
      </c>
      <c r="AJ33" s="41">
        <f>AJ32-(AK32*AN33)</f>
        <v>5.5334904094880982E-3</v>
      </c>
      <c r="AK33" s="34">
        <f>AK32-(AJ32*AN33)</f>
        <v>-0.20337120286285362</v>
      </c>
      <c r="AL33" s="34">
        <f>AL32-(AI32*AN33)</f>
        <v>-0.15297222732710489</v>
      </c>
      <c r="AM33" s="34">
        <f>AM32-(AH32*AN33)</f>
        <v>8.1170153270368139E-2</v>
      </c>
      <c r="AN33" s="39">
        <f>(AF33-(AH32*AF32+AI32*AF31+AJ32*AF30+AK32*AF29+AL32*AF28+AM32*AF27))/(1-(AH32*AF27+AI32*AF28+AJ32*AF29+AK32*AF30+AL32*AF31+AM32*AF32))</f>
        <v>-0.22695857926700613</v>
      </c>
      <c r="AO33" s="34"/>
      <c r="AP33" s="34"/>
      <c r="AQ33" s="34"/>
      <c r="AR33" s="34"/>
      <c r="AS33" s="34"/>
      <c r="AT33" s="34"/>
      <c r="AU33" s="34"/>
      <c r="AV33" s="34"/>
      <c r="AW33" s="34"/>
      <c r="AX33" s="34"/>
      <c r="AY33" s="44"/>
      <c r="AZ33" s="44"/>
      <c r="BA33" s="44"/>
    </row>
    <row r="34" spans="1:53">
      <c r="A34" s="38">
        <v>32</v>
      </c>
      <c r="B34" s="37">
        <v>-2.8740675853640711</v>
      </c>
      <c r="C34" s="35">
        <f t="shared" si="7"/>
        <v>-4.6536103020949886</v>
      </c>
      <c r="D34" s="35"/>
      <c r="P34" s="294">
        <v>31</v>
      </c>
      <c r="Q34" s="36">
        <f t="shared" si="14"/>
        <v>-1.6888986219554067</v>
      </c>
      <c r="R34" s="35">
        <f t="shared" si="15"/>
        <v>-1.7033884178737742</v>
      </c>
      <c r="S34" s="48"/>
      <c r="V34" s="34"/>
      <c r="AE34" s="45">
        <v>8</v>
      </c>
      <c r="AF34" s="42">
        <f t="shared" si="21"/>
        <v>4.7059199572631501E-2</v>
      </c>
      <c r="AG34" s="41">
        <f>AO34</f>
        <v>6.1701367644729978E-2</v>
      </c>
      <c r="AH34" s="41">
        <f>AH33-(AN33*AO34)</f>
        <v>-9.784185124270714E-2</v>
      </c>
      <c r="AI34" s="41">
        <f>AI33-(AM33*AO34)</f>
        <v>-0.24929708446258098</v>
      </c>
      <c r="AJ34" s="41">
        <f>AJ33-(AL33*AO34)</f>
        <v>1.4972086047231006E-2</v>
      </c>
      <c r="AK34" s="34">
        <f>AK33-(AK33*AO34)</f>
        <v>-0.19082292150666172</v>
      </c>
      <c r="AL34" s="34">
        <f>AL33-(AJ33*AO34)</f>
        <v>-0.1533136512532193</v>
      </c>
      <c r="AM34" s="34">
        <f>AM33-(AI33*AO34)</f>
        <v>9.6243104787745448E-2</v>
      </c>
      <c r="AN34" s="34">
        <f>AN33-(AH33*AO34)</f>
        <v>-0.22005755858298842</v>
      </c>
      <c r="AO34" s="39">
        <f>(AF34-(AH33*AF33+AI33*AF32+AJ33*AF31+AK33*AF30+AL33*AF29+AM33*AF28+AN33*AF27))/(1-(AH33*AF27+AI33*AF28+AJ33*AF29+AK33*AF30+AL33*AF31+AM33*AF32+AN33*AF33))</f>
        <v>6.1701367644729978E-2</v>
      </c>
      <c r="AP34" s="34"/>
      <c r="AQ34" s="34"/>
      <c r="AR34" s="34"/>
      <c r="AS34" s="34"/>
      <c r="AT34" s="34"/>
      <c r="AU34" s="34"/>
      <c r="AV34" s="34"/>
      <c r="AW34" s="34"/>
      <c r="AX34" s="34"/>
      <c r="AY34" s="44"/>
      <c r="AZ34" s="44"/>
      <c r="BA34" s="44"/>
    </row>
    <row r="35" spans="1:53">
      <c r="A35" s="38">
        <v>33</v>
      </c>
      <c r="B35" s="37">
        <v>-6.2496270341458739</v>
      </c>
      <c r="C35" s="35">
        <f t="shared" si="7"/>
        <v>-8.0291697508767914</v>
      </c>
      <c r="D35" s="35"/>
      <c r="P35" s="294">
        <v>32</v>
      </c>
      <c r="Q35" s="36">
        <f t="shared" si="14"/>
        <v>-3.3755594487818028</v>
      </c>
      <c r="R35" s="35">
        <f t="shared" si="15"/>
        <v>-3.3900492447001702</v>
      </c>
      <c r="S35" s="48"/>
      <c r="V35" s="34"/>
      <c r="AE35" s="45">
        <v>9</v>
      </c>
      <c r="AF35" s="42">
        <f t="shared" si="21"/>
        <v>6.467977371630633E-2</v>
      </c>
      <c r="AG35" s="41">
        <f>AP35</f>
        <v>-0.13208176922036657</v>
      </c>
      <c r="AH35" s="41">
        <f>AH34-(AO34*AP35)</f>
        <v>-8.969222544087492E-2</v>
      </c>
      <c r="AI35" s="41">
        <f>AI34-(AN34*AP35)</f>
        <v>-0.27836267613053656</v>
      </c>
      <c r="AJ35" s="41">
        <f>AJ34-(AM34*AP35)</f>
        <v>2.768404560285756E-2</v>
      </c>
      <c r="AK35" s="34">
        <f>AK34-(AL34*AP35)</f>
        <v>-0.21107285980982118</v>
      </c>
      <c r="AL35" s="34">
        <f>AL34-(AK34*AP35)</f>
        <v>-0.17851788033361832</v>
      </c>
      <c r="AM35" s="34">
        <f>AM34-(AJ34*AP35)</f>
        <v>9.8220644401783283E-2</v>
      </c>
      <c r="AN35" s="34">
        <f>AN34-(AI34*AP35)</f>
        <v>-0.25298515856028525</v>
      </c>
      <c r="AO35" s="34">
        <f>AO34-(AH34*AP35)</f>
        <v>4.8778242828797294E-2</v>
      </c>
      <c r="AP35" s="39">
        <f>(AF35-(AH34*AF34+AI34*AF33+AJ34*AF32+AK34*AF31+AL34*AF30+AM34*AF29+AN34*AF28+AO34*AF27))/(1-(AH34*AF27+AI34*AF28+AJ34*AF29+AK34*AF30+AL34*AF31+AM34*AF32+AN34*AF33+AO34*AF34))</f>
        <v>-0.13208176922036657</v>
      </c>
      <c r="AQ35" s="34"/>
      <c r="AR35" s="34"/>
      <c r="AS35" s="34"/>
      <c r="AT35" s="34"/>
      <c r="AU35" s="34"/>
      <c r="AV35" s="34"/>
      <c r="AW35" s="34"/>
      <c r="AX35" s="34"/>
      <c r="AY35" s="44"/>
      <c r="AZ35" s="44"/>
      <c r="BA35" s="44"/>
    </row>
    <row r="36" spans="1:53">
      <c r="A36" s="38">
        <v>34</v>
      </c>
      <c r="B36" s="37">
        <v>-1.2998508136584519</v>
      </c>
      <c r="C36" s="35">
        <f t="shared" si="7"/>
        <v>-3.0793935303893694</v>
      </c>
      <c r="D36" s="35"/>
      <c r="P36" s="294">
        <v>33</v>
      </c>
      <c r="Q36" s="36">
        <f t="shared" si="14"/>
        <v>4.9497762204874221</v>
      </c>
      <c r="R36" s="35">
        <f t="shared" si="15"/>
        <v>4.9352864245690551</v>
      </c>
      <c r="S36" s="48"/>
      <c r="V36" s="34"/>
      <c r="AE36" s="45">
        <v>10</v>
      </c>
      <c r="AF36" s="42">
        <f t="shared" si="21"/>
        <v>-0.20466285631481446</v>
      </c>
      <c r="AG36" s="41">
        <f>AQ36</f>
        <v>-0.11252631430978571</v>
      </c>
      <c r="AH36" s="41">
        <f>AH35-(AP35*AQ36)</f>
        <v>-0.10455490011875847</v>
      </c>
      <c r="AI36" s="41">
        <f>AI35-(AO35*AQ36)</f>
        <v>-0.27287384024650424</v>
      </c>
      <c r="AJ36" s="41">
        <f>AJ35-(AN35*AQ36)</f>
        <v>-7.8344186500807489E-4</v>
      </c>
      <c r="AK36" s="34">
        <f>AK35-(AM35*AQ36)</f>
        <v>-0.20002045270615643</v>
      </c>
      <c r="AL36" s="34">
        <f>AL35-(AL35*AQ36)</f>
        <v>-0.19860583944595578</v>
      </c>
      <c r="AM36" s="34">
        <f>AM35-(AK35*AQ36)</f>
        <v>7.4469393436558007E-2</v>
      </c>
      <c r="AN36" s="34">
        <f>AN35-(AJ35*AQ36)</f>
        <v>-0.24986997494341165</v>
      </c>
      <c r="AO36" s="34">
        <f>AO35-(AI35*AQ36)</f>
        <v>1.7455116842419453E-2</v>
      </c>
      <c r="AP36" s="34">
        <f>AP35-(AH35*AQ36)</f>
        <v>-0.14217450477147062</v>
      </c>
      <c r="AQ36" s="39">
        <f>(AF36-(AH35*AF35+AI35*AF34+AJ35*AF33+AK35*AF32+AL35*AF31+AM35*AF30+AN35*AF29+AO35*AF28+AP35*AF27))/(1-(AH35*AF27+AI35*AF28+AJ35*AF29+AK35*AF30+AL35*AF31+AM35*AF32+AN35*AF33+AO35*AF34+AP35*AF35))</f>
        <v>-0.11252631430978571</v>
      </c>
      <c r="AR36" s="34"/>
      <c r="AS36" s="34"/>
      <c r="AT36" s="34"/>
      <c r="AU36" s="34"/>
      <c r="AV36" s="34"/>
      <c r="AW36" s="34"/>
      <c r="AX36" s="34"/>
      <c r="AY36" s="44"/>
      <c r="AZ36" s="44"/>
      <c r="BA36" s="44"/>
    </row>
    <row r="37" spans="1:53">
      <c r="A37" s="38">
        <v>35</v>
      </c>
      <c r="B37" s="37">
        <v>-1.0199403254634252</v>
      </c>
      <c r="C37" s="35">
        <f t="shared" si="7"/>
        <v>-2.7994830421943426</v>
      </c>
      <c r="D37" s="35"/>
      <c r="P37" s="294">
        <v>34</v>
      </c>
      <c r="Q37" s="36">
        <f t="shared" si="14"/>
        <v>0.27991048819502673</v>
      </c>
      <c r="R37" s="35">
        <f t="shared" si="15"/>
        <v>0.26542069227665932</v>
      </c>
      <c r="S37" s="48"/>
      <c r="V37" s="34"/>
      <c r="AE37" s="45">
        <v>11</v>
      </c>
      <c r="AF37" s="42">
        <f t="shared" si="21"/>
        <v>1.1682551443435385E-2</v>
      </c>
      <c r="AG37" s="41">
        <f>AR37</f>
        <v>-0.11311895824433384</v>
      </c>
      <c r="AH37" s="41">
        <f>AH36-(AQ36*AR37)</f>
        <v>-0.1172837595685559</v>
      </c>
      <c r="AI37" s="41">
        <f>AI36-(AP36*AR37)</f>
        <v>-0.28895647211515707</v>
      </c>
      <c r="AJ37" s="41">
        <f>AJ36-(AO36*AR37)</f>
        <v>1.1910627682395394E-3</v>
      </c>
      <c r="AK37" s="34">
        <f>AK36-(AN36*AR37)</f>
        <v>-0.22828548396829296</v>
      </c>
      <c r="AL37" s="34">
        <f>AL36-(AM36*AR37)</f>
        <v>-0.19018193923932492</v>
      </c>
      <c r="AM37" s="34">
        <f>AM36-(AL36*AR37)</f>
        <v>5.2003307777190061E-2</v>
      </c>
      <c r="AN37" s="34">
        <f>AN36-(AK36*AR37)</f>
        <v>-0.27249608018109212</v>
      </c>
      <c r="AO37" s="34">
        <f>AO36-(AJ36*AR37)</f>
        <v>1.7366494714804743E-2</v>
      </c>
      <c r="AP37" s="34">
        <f>AP36-(AI36*AR37)</f>
        <v>-0.17304170931228596</v>
      </c>
      <c r="AQ37" s="34">
        <f>AQ36-(AH36*AR37)</f>
        <v>-0.12435345569056004</v>
      </c>
      <c r="AR37" s="39">
        <f>(AF37-(AH36*AF36+AI36*AF35+AJ36*AF34+AK36*AF33+AL36*AF32+AM36*AF31+AN36*AF30+AO36*AF29+AP36*AF28+AQ36*AF27))/(1-(AH36*AF27+AI36*AF28+AJ36*AF29+AK36*AF30+AL36*AF31+AM36*AF32+AN36*AF33+AO36*AF34+AP36*AF35+AQ36*AF36))</f>
        <v>-0.11311895824433384</v>
      </c>
      <c r="AS37" s="34"/>
      <c r="AT37" s="34"/>
      <c r="AU37" s="34"/>
      <c r="AV37" s="34"/>
      <c r="AW37" s="34"/>
      <c r="AX37" s="34"/>
      <c r="AY37" s="44"/>
      <c r="AZ37" s="44"/>
      <c r="BA37" s="44"/>
    </row>
    <row r="38" spans="1:53">
      <c r="A38" s="38">
        <v>36</v>
      </c>
      <c r="B38" s="37">
        <v>-2.6079761301853921</v>
      </c>
      <c r="C38" s="35">
        <f t="shared" si="7"/>
        <v>-4.3875188469163096</v>
      </c>
      <c r="D38" s="35"/>
      <c r="P38" s="294">
        <v>35</v>
      </c>
      <c r="Q38" s="36">
        <f t="shared" si="14"/>
        <v>-1.5880358047219669</v>
      </c>
      <c r="R38" s="35">
        <f t="shared" si="15"/>
        <v>-1.6025256006403343</v>
      </c>
      <c r="S38" s="48"/>
      <c r="V38" s="34"/>
      <c r="AE38" s="45">
        <v>12</v>
      </c>
      <c r="AF38" s="42">
        <f t="shared" si="21"/>
        <v>0.14597368325436191</v>
      </c>
      <c r="AG38" s="41">
        <f>AS38</f>
        <v>3.6600657857219139E-3</v>
      </c>
      <c r="AH38" s="41">
        <f>AH37-(AR37*AS38)</f>
        <v>-0.1168697367397693</v>
      </c>
      <c r="AI38" s="41">
        <f>AI37-(AQ37*AS38)</f>
        <v>-0.28850133028664776</v>
      </c>
      <c r="AJ38" s="41">
        <f>AJ37-(AP37*AS38)</f>
        <v>1.8244068079962743E-3</v>
      </c>
      <c r="AK38" s="34">
        <f>AK37-(AO37*AS38)</f>
        <v>-0.22834904648141655</v>
      </c>
      <c r="AL38" s="34">
        <f>AL37-(AN37*AS38)</f>
        <v>-0.18918458565951077</v>
      </c>
      <c r="AM38" s="34">
        <f>AM37-(AM37*AS38)</f>
        <v>5.1812972249650403E-2</v>
      </c>
      <c r="AN38" s="34">
        <f>AN37-(AL37*AS38)</f>
        <v>-0.27180000177222002</v>
      </c>
      <c r="AO38" s="34">
        <f>AO37-(AK37*AS38)</f>
        <v>1.8202034604054059E-2</v>
      </c>
      <c r="AP38" s="34">
        <f>AP37-(AJ37*AS38)</f>
        <v>-0.17304606868037264</v>
      </c>
      <c r="AQ38" s="34">
        <f>AQ37-(AI37*AS38)</f>
        <v>-0.12329585599340845</v>
      </c>
      <c r="AR38" s="34">
        <f>AR37-(AH37*AS38)</f>
        <v>-0.11268969196871613</v>
      </c>
      <c r="AS38" s="39">
        <f>(AF38-(AH37*AF37+AI37*AF36+AJ37*AF35+AK37*AF34+AL37*AF33+AM37*AF32+AN37*AF31+AO37*AF30+AP37*AF29+AQ37*AF28+AR37*AF27))/(1-(AH37*AF27+AI37*AF28+AJ37*AF29+AK37*AF30+AL37*AF31+AM37*AF32+AN37*AF33+AO37*AF34+AP37*AF35+AQ37*AF36+AR37*AF37))</f>
        <v>3.6600657857219139E-3</v>
      </c>
      <c r="AT38" s="34"/>
      <c r="AU38" s="34"/>
      <c r="AV38" s="34"/>
      <c r="AW38" s="34"/>
      <c r="AX38" s="34"/>
      <c r="AY38" s="44"/>
      <c r="AZ38" s="44"/>
      <c r="BA38" s="44"/>
    </row>
    <row r="39" spans="1:53">
      <c r="A39" s="38">
        <v>37</v>
      </c>
      <c r="B39" s="37">
        <v>2.0568095479258304</v>
      </c>
      <c r="C39" s="35">
        <f t="shared" si="7"/>
        <v>0.27726683119491269</v>
      </c>
      <c r="D39" s="35"/>
      <c r="P39" s="294">
        <v>36</v>
      </c>
      <c r="Q39" s="36">
        <f t="shared" si="14"/>
        <v>4.6647856781112225</v>
      </c>
      <c r="R39" s="35">
        <f t="shared" si="15"/>
        <v>4.6502958821928555</v>
      </c>
      <c r="S39" s="48"/>
      <c r="V39" s="34"/>
      <c r="AE39" s="45">
        <v>13</v>
      </c>
      <c r="AF39" s="42">
        <f t="shared" si="21"/>
        <v>-0.10285272346124281</v>
      </c>
      <c r="AG39" s="41">
        <f>AT39</f>
        <v>-1.7231463230406509E-2</v>
      </c>
      <c r="AH39" s="41">
        <f>AH38-(AS38*AT39)</f>
        <v>-0.11680666845076176</v>
      </c>
      <c r="AI39" s="41">
        <f>AI38-(AR38*AT39)</f>
        <v>-0.2904431385702525</v>
      </c>
      <c r="AJ39" s="41">
        <f>AJ38-(AQ38*AT39)</f>
        <v>-3.0016120101563921E-4</v>
      </c>
      <c r="AK39" s="34">
        <f>AK38-(AP38*AT39)</f>
        <v>-0.2313308834510488</v>
      </c>
      <c r="AL39" s="34">
        <f>AL38-(AO38*AT39)</f>
        <v>-0.18887093796951243</v>
      </c>
      <c r="AM39" s="34">
        <f>AM38-(AN38*AT39)</f>
        <v>4.7129460513087973E-2</v>
      </c>
      <c r="AN39" s="34">
        <f>AN38-(AM38*AT39)</f>
        <v>-0.27090718844604211</v>
      </c>
      <c r="AO39" s="34">
        <f>AO38-(AL38*AT39)</f>
        <v>1.4942107372502509E-2</v>
      </c>
      <c r="AP39" s="34">
        <f>AP38-(AK38*AT39)</f>
        <v>-0.17698085687851556</v>
      </c>
      <c r="AQ39" s="34">
        <f>AQ38-(AJ38*AT39)</f>
        <v>-0.12326441879457915</v>
      </c>
      <c r="AR39" s="34">
        <f>AR38-(AI38*AT39)</f>
        <v>-0.11766099203347387</v>
      </c>
      <c r="AS39" s="34">
        <f>AS38-(AH38*AT39)</f>
        <v>1.6462292143432904E-3</v>
      </c>
      <c r="AT39" s="39">
        <f>(AF39-(AH38*AF38+AI38*AF37+AJ38*AF36+AK38*AF35+AL38*AF34+AM38*AF33+AN38*AF32+AO38*AF31+AP38*AF30+AQ38*AF29+AR38*AF28+AS38*AF27))/(1-(AH38*AF27+AI38*AF28+AJ38*AF29+AK38*AF30+AL38*AF31+AM38*AF32+AN38*AF33+AO38*AF34+AP38*AF35+AQ38*AF36+AR38*AF37+AS38*AF38))</f>
        <v>-1.7231463230406509E-2</v>
      </c>
      <c r="AU39" s="34"/>
      <c r="AV39" s="34"/>
      <c r="AW39" s="34"/>
      <c r="AX39" s="34"/>
      <c r="AY39" s="44"/>
      <c r="AZ39" s="44"/>
      <c r="BA39" s="44"/>
    </row>
    <row r="40" spans="1:53">
      <c r="A40" s="38">
        <v>38</v>
      </c>
      <c r="B40" s="37">
        <v>2.2227238191703229</v>
      </c>
      <c r="C40" s="35">
        <f t="shared" si="7"/>
        <v>0.44318110243940523</v>
      </c>
      <c r="D40" s="35"/>
      <c r="P40" s="294">
        <v>37</v>
      </c>
      <c r="Q40" s="36">
        <f t="shared" si="14"/>
        <v>0.16591427124449254</v>
      </c>
      <c r="R40" s="35">
        <f t="shared" si="15"/>
        <v>0.15142447532612516</v>
      </c>
      <c r="S40" s="48"/>
      <c r="V40" s="34"/>
      <c r="AE40" s="45">
        <v>14</v>
      </c>
      <c r="AF40" s="42">
        <f t="shared" si="21"/>
        <v>-1.0360626390901852E-2</v>
      </c>
      <c r="AG40" s="41">
        <f>AU40</f>
        <v>-0.14984868598341647</v>
      </c>
      <c r="AH40" s="41">
        <f>AH39-(AT39*AU40)</f>
        <v>-0.11938878057340974</v>
      </c>
      <c r="AI40" s="41">
        <f>AI39-(AS39*AU40)</f>
        <v>-0.29019645328565563</v>
      </c>
      <c r="AJ40" s="41">
        <f>AJ39-(AR39*AU40)</f>
        <v>-1.793150624873693E-2</v>
      </c>
      <c r="AK40" s="34">
        <f>AK39-(AQ39*AU40)</f>
        <v>-0.24980189463592603</v>
      </c>
      <c r="AL40" s="34">
        <f>AL39-(AP39*AU40)</f>
        <v>-0.21539128681697708</v>
      </c>
      <c r="AM40" s="34">
        <f>AM39-(AO39*AU40)</f>
        <v>4.9368515668680592E-2</v>
      </c>
      <c r="AN40" s="34">
        <f>AN39-(AN39*AU40)</f>
        <v>-0.31150227465814329</v>
      </c>
      <c r="AO40" s="34">
        <f>AO39-(AM39*AU40)</f>
        <v>2.2004395101496054E-2</v>
      </c>
      <c r="AP40" s="34">
        <f>AP39-(AL39*AU40)</f>
        <v>-0.20528291875370236</v>
      </c>
      <c r="AQ40" s="34">
        <f>AQ39-(AK39*AU40)</f>
        <v>-0.15792904770710167</v>
      </c>
      <c r="AR40" s="34">
        <f>AR39-(AJ39*AU40)</f>
        <v>-0.11770597079502927</v>
      </c>
      <c r="AS40" s="34">
        <f>AS39-(AI39*AU40)</f>
        <v>-4.1876293453308393E-2</v>
      </c>
      <c r="AT40" s="34">
        <f>AT39-(AH39*AU40)</f>
        <v>-3.4734789011853749E-2</v>
      </c>
      <c r="AU40" s="39">
        <f>(AF40-(AH39*AF39+AI39*AF38+AJ39*AF37+AK39*AF36+AL39*AF35+AM39*AF34+AN39*AF33+AO39*AF32+AP39*AF31+AQ39*AF30+AR39*AF29+AS39*AF28+AT39*AF27))/(1-(AH39*AF27+AI39*AF28+AJ39*AF29+AK39*AF30+AL39*AF31+AM39*AF32+AN39*AF33+AO39*AF34+AP39*AF35+AQ39*AF36+AR39*AF37+AS39*AF38+AT39*AF39))</f>
        <v>-0.14984868598341647</v>
      </c>
      <c r="AV40" s="34"/>
      <c r="AW40" s="34"/>
      <c r="AX40" s="34"/>
      <c r="AY40" s="44"/>
      <c r="AZ40" s="44"/>
      <c r="BA40" s="44"/>
    </row>
    <row r="41" spans="1:53">
      <c r="A41" s="38">
        <v>39</v>
      </c>
      <c r="B41" s="37">
        <v>0.58908952766812117</v>
      </c>
      <c r="C41" s="35">
        <f t="shared" si="7"/>
        <v>-1.1904531890627965</v>
      </c>
      <c r="D41" s="35"/>
      <c r="P41" s="294">
        <v>38</v>
      </c>
      <c r="Q41" s="36">
        <f t="shared" si="14"/>
        <v>-1.6336342915022017</v>
      </c>
      <c r="R41" s="35">
        <f t="shared" si="15"/>
        <v>-1.6481240874205692</v>
      </c>
      <c r="S41" s="48"/>
      <c r="V41" s="34"/>
      <c r="AE41" s="45">
        <v>15</v>
      </c>
      <c r="AF41" s="42">
        <f t="shared" si="21"/>
        <v>-1.1296492353172063E-2</v>
      </c>
      <c r="AG41" s="41">
        <f>AV41</f>
        <v>-0.10483463853500861</v>
      </c>
      <c r="AH41" s="41">
        <f>AH40-(AU40*AV41)</f>
        <v>-0.1350981134034272</v>
      </c>
      <c r="AI41" s="41">
        <f>AI40-(AT40*AV41)</f>
        <v>-0.2938378623363031</v>
      </c>
      <c r="AJ41" s="41">
        <f>AJ40-(AS40*AV41)</f>
        <v>-2.2321592336100461E-2</v>
      </c>
      <c r="AK41" s="34">
        <f>AK40-(AR40*AV41)</f>
        <v>-0.26214155753763518</v>
      </c>
      <c r="AL41" s="34">
        <f>AL40-(AQ40*AV41)</f>
        <v>-0.23194772144752923</v>
      </c>
      <c r="AM41" s="34">
        <f>AM40-(AP40*AV41)</f>
        <v>2.7847755083724664E-2</v>
      </c>
      <c r="AN41" s="34">
        <f>AN40-(AO40*AV41)</f>
        <v>-0.30919545185149644</v>
      </c>
      <c r="AO41" s="34">
        <f>AO40-(AN40*AV41)</f>
        <v>-1.0651833265123371E-2</v>
      </c>
      <c r="AP41" s="34">
        <f>AP40-(AM40*AV41)</f>
        <v>-0.20010738825856633</v>
      </c>
      <c r="AQ41" s="34">
        <f>AQ40-(AL40*AV41)</f>
        <v>-0.18050951540414983</v>
      </c>
      <c r="AR41" s="34">
        <f>AR40-(AK40*AV41)</f>
        <v>-0.14389386212454688</v>
      </c>
      <c r="AS41" s="34">
        <f>AS40-(AJ40*AV41)</f>
        <v>-4.3756136429282978E-2</v>
      </c>
      <c r="AT41" s="34">
        <f>AT40-(AI40*AV41)</f>
        <v>-6.5157429296196973E-2</v>
      </c>
      <c r="AU41" s="34">
        <f>AU40-(AH40*AV41)</f>
        <v>-0.16236476563996532</v>
      </c>
      <c r="AV41" s="39">
        <f>(AF41-(AH40*AF40+AI40*AF39+AJ40*AF38+AK40*AF37+AL40*AF36+AM40*AF35+AN40*AF34+AO40*AF33+AP40*AF32+AQ40*AF31+AR40*AF30+AS40*AF29+AT40*AF28+AU40*AF27))/(1-(AH40*AF27+AI40*AF28+AJ40*AF29+AK40*AF30+AL40*AF31+AM40*AF32+AN40*AF33+AO40*AF34+AP40*AF35+AQ40*AF36+AR40*AF37+AS40*AF38+AT40*AF39+AU40*AF40))</f>
        <v>-0.10483463853500861</v>
      </c>
      <c r="AW41" s="34"/>
      <c r="AX41" s="34"/>
      <c r="AY41" s="44"/>
      <c r="AZ41" s="44"/>
      <c r="BA41" s="44"/>
    </row>
    <row r="42" spans="1:53">
      <c r="A42" s="38">
        <v>40</v>
      </c>
      <c r="B42" s="37">
        <v>5.2356358110672412</v>
      </c>
      <c r="C42" s="35">
        <f t="shared" si="7"/>
        <v>3.4560930943363237</v>
      </c>
      <c r="D42" s="35"/>
      <c r="P42" s="294">
        <v>39</v>
      </c>
      <c r="Q42" s="36">
        <f t="shared" si="14"/>
        <v>4.64654628339912</v>
      </c>
      <c r="R42" s="35">
        <f t="shared" si="15"/>
        <v>4.632056487480753</v>
      </c>
      <c r="S42" s="48"/>
      <c r="V42" s="34"/>
      <c r="AE42" s="45">
        <v>16</v>
      </c>
      <c r="AF42" s="42">
        <f t="shared" si="21"/>
        <v>-2.1194584259988214E-2</v>
      </c>
      <c r="AG42" s="41">
        <f>AW42</f>
        <v>-3.8546459666535124E-2</v>
      </c>
      <c r="AH42" s="41">
        <f>AH41-(AV41*AW42)</f>
        <v>-0.13913911756937269</v>
      </c>
      <c r="AI42" s="41">
        <f>AI41-(AU41*AW42)</f>
        <v>-0.30009644922631046</v>
      </c>
      <c r="AJ42" s="41">
        <f>AJ41-(AT41*AW42)</f>
        <v>-2.4833180556441431E-2</v>
      </c>
      <c r="AK42" s="34">
        <f>AK41-(AS41*AW42)</f>
        <v>-0.26382820168566995</v>
      </c>
      <c r="AL42" s="34">
        <f>AL41-(AR41*AW42)</f>
        <v>-0.23749432040017504</v>
      </c>
      <c r="AM42" s="34">
        <f>AM41-(AQ41*AW42)</f>
        <v>2.0889752328772802E-2</v>
      </c>
      <c r="AN42" s="34">
        <f>AN41-(AP41*AW42)</f>
        <v>-0.31690888322198096</v>
      </c>
      <c r="AO42" s="34">
        <f>AO41-(AO41*AW42)</f>
        <v>-1.1062423726452105E-2</v>
      </c>
      <c r="AP42" s="34">
        <f>AP41-(AN41*AW42)</f>
        <v>-0.21202577827243616</v>
      </c>
      <c r="AQ42" s="34">
        <f>AQ41-(AM41*AW42)</f>
        <v>-0.1794360830360115</v>
      </c>
      <c r="AR42" s="34">
        <f>AR41-(AL41*AW42)</f>
        <v>-0.1528346256140688</v>
      </c>
      <c r="AS42" s="34">
        <f>AS41-(AK41*AW42)</f>
        <v>-5.3860765403830127E-2</v>
      </c>
      <c r="AT42" s="34">
        <f>AT41-(AJ41*AW42)</f>
        <v>-6.6017847654873313E-2</v>
      </c>
      <c r="AU42" s="34">
        <f>AU41-(AI41*AW42)</f>
        <v>-0.17369117494901254</v>
      </c>
      <c r="AV42" s="34">
        <f>AV41-(AH41*AW42)</f>
        <v>-0.1100421925143388</v>
      </c>
      <c r="AW42" s="39">
        <f>(AF42-(AH41*AF41+AI41*AF40+AJ41*AF39+AK41*AF38+AL41*AF37+AM41*AF36+AN41*AF35+AO41*AF34+AP41*AF33+AQ41*AF32+AR41*AF31+AS41*AF30+AT41*AF29+AU41*AF28+AV41*AF27))/(1-(AH41*AF27+AI41*AF28+AJ41*AF29+AK41*AF30+AL41*AF31+AM41*AF32+AN41*AF33+AO41*AF34+AP41*AF35+AQ41*AF36+AR41*AF37+AS41*AF38+AT41*AF39+AU41*AF40+AV41*AF41))</f>
        <v>-3.8546459666535124E-2</v>
      </c>
      <c r="AX42" s="34"/>
      <c r="AY42" s="44"/>
      <c r="AZ42" s="44"/>
      <c r="BA42" s="44"/>
    </row>
    <row r="43" spans="1:53">
      <c r="A43" s="38">
        <v>41</v>
      </c>
      <c r="B43" s="37">
        <v>1.3942543244268895</v>
      </c>
      <c r="C43" s="35">
        <f t="shared" si="7"/>
        <v>-0.38528839230402823</v>
      </c>
      <c r="D43" s="35"/>
      <c r="P43" s="294">
        <v>40</v>
      </c>
      <c r="Q43" s="36">
        <f t="shared" si="14"/>
        <v>-3.8413814866403517</v>
      </c>
      <c r="R43" s="35">
        <f t="shared" si="15"/>
        <v>-3.8558712825587191</v>
      </c>
      <c r="S43" s="48"/>
      <c r="V43" s="34"/>
      <c r="AE43" s="45">
        <v>17</v>
      </c>
      <c r="AF43" s="42">
        <f t="shared" si="21"/>
        <v>5.9117195598321709E-2</v>
      </c>
      <c r="AG43" s="41">
        <f>AX43</f>
        <v>-2.2925008978743205E-2</v>
      </c>
      <c r="AH43" s="41">
        <f>AH42-(AW42*AX43)</f>
        <v>-0.14002279550332677</v>
      </c>
      <c r="AI43" s="41">
        <f>AI42-(AV42*AX43)</f>
        <v>-0.30261916747774226</v>
      </c>
      <c r="AJ43" s="41">
        <f>AJ42-(AU42*AX43)</f>
        <v>-2.8815052301676001E-2</v>
      </c>
      <c r="AK43" s="34">
        <f>AK42-(AT42*AX43)</f>
        <v>-0.2653416614359152</v>
      </c>
      <c r="AL43" s="34">
        <f>AL42-(AS42*AX43)</f>
        <v>-0.23872907893065984</v>
      </c>
      <c r="AM43" s="34">
        <f>AM42-(AR42*AX43)</f>
        <v>1.7386017164307419E-2</v>
      </c>
      <c r="AN43" s="34">
        <f>AN42-(AQ42*AX43)</f>
        <v>-0.32102245703669202</v>
      </c>
      <c r="AO43" s="34">
        <f>AO42-(AP42*AX43)</f>
        <v>-1.5923116597072719E-2</v>
      </c>
      <c r="AP43" s="34">
        <f>AP42-(AO42*AX43)</f>
        <v>-0.21227938443569172</v>
      </c>
      <c r="AQ43" s="34">
        <f>AQ42-(AN42*AX43)</f>
        <v>-0.18670122202931888</v>
      </c>
      <c r="AR43" s="34">
        <f>AR42-(AM42*AX43)</f>
        <v>-0.15235572785436796</v>
      </c>
      <c r="AS43" s="34">
        <f>AS42-(AL42*AX43)</f>
        <v>-5.9305324831404653E-2</v>
      </c>
      <c r="AT43" s="34">
        <f>AT42-(AK42*AX43)</f>
        <v>-7.2066111547362977E-2</v>
      </c>
      <c r="AU43" s="34">
        <f>AU42-(AJ42*AX43)</f>
        <v>-0.17426047583623971</v>
      </c>
      <c r="AV43" s="34">
        <f>AV42-(AI42*AX43)</f>
        <v>-0.11692190630734092</v>
      </c>
      <c r="AW43" s="34">
        <f>AW42-(AH42*AX43)</f>
        <v>-4.1736225186107402E-2</v>
      </c>
      <c r="AX43" s="39">
        <f>(AF43-(AH42*AF42+AI42*AF41+AJ42*AF40+AK42*AF39+AL42*AF38+AM42*AF37+AN42*AF36+AO42*AF35+AP42*AF34+AQ42*AF33+AR42*AF32+AS42*AF31+AT42*AF30+AU42*AF29+AV42*AF28+AW42*AF27))/(1-(AH42*AF27+AI42*AF28+AJ42*AF29+AK42*AF30+AL42*AF31+AM42*AF32+AN42*AF33+AO42*AF34+AP42*AF35+AQ42*AF36+AR42*AF37+AS42*AF38+AT42*AF39+AU42*AF40+AV42*AF41+AW42*AF42))</f>
        <v>-2.2925008978743205E-2</v>
      </c>
      <c r="AY43" s="44"/>
      <c r="AZ43" s="44"/>
      <c r="BA43" s="44"/>
    </row>
    <row r="44" spans="1:53">
      <c r="A44" s="38">
        <v>42</v>
      </c>
      <c r="B44" s="37">
        <v>2.1577017297707481</v>
      </c>
      <c r="C44" s="35">
        <f t="shared" si="7"/>
        <v>0.37815901303983046</v>
      </c>
      <c r="D44" s="35"/>
      <c r="P44" s="294">
        <v>41</v>
      </c>
      <c r="Q44" s="36">
        <f t="shared" si="14"/>
        <v>0.76344740534385869</v>
      </c>
      <c r="R44" s="35">
        <f t="shared" si="15"/>
        <v>0.74895760942549128</v>
      </c>
      <c r="S44" s="48"/>
      <c r="V44" s="34"/>
      <c r="AE44" s="43">
        <v>18</v>
      </c>
      <c r="AF44" s="42">
        <f t="shared" si="21"/>
        <v>0.17107451331661525</v>
      </c>
      <c r="AG44" s="41">
        <f>AX44</f>
        <v>-2.3050699688338186E-3</v>
      </c>
      <c r="AH44" s="41">
        <f>AH43-(AX43*AY44)</f>
        <v>-0.13664682885986637</v>
      </c>
      <c r="AI44" s="41">
        <f>AI43-(AW43*AY44)</f>
        <v>-0.29647303666562796</v>
      </c>
      <c r="AJ44" s="41">
        <f>AJ43-(AV43*AY44)</f>
        <v>-1.1596980284806227E-2</v>
      </c>
      <c r="AK44" s="34">
        <f>AK43-(AU43*AY44)</f>
        <v>-0.23967983708321056</v>
      </c>
      <c r="AL44" s="34">
        <f>AL43-(AT43*AY44)</f>
        <v>-0.22811652959934295</v>
      </c>
      <c r="AM44" s="34">
        <f>AM43-(AS43*AY44)</f>
        <v>2.6119396444378815E-2</v>
      </c>
      <c r="AN44" s="34">
        <f>AN43-(AR43*AY44)</f>
        <v>-0.29858635436587527</v>
      </c>
      <c r="AO44" s="34">
        <f>AO43-(AQ43*AY44)</f>
        <v>1.1570748223163927E-2</v>
      </c>
      <c r="AP44" s="34">
        <f>AP43-(AP43*AY44)</f>
        <v>-0.18101884614697378</v>
      </c>
      <c r="AQ44" s="34">
        <f>AQ43-(AO43*AY44)</f>
        <v>-0.18435636316616674</v>
      </c>
      <c r="AR44" s="34">
        <f>AR43-(AN43*AY44)</f>
        <v>-0.10508154323954519</v>
      </c>
      <c r="AS44" s="34">
        <f>AS43-(AM43*AY44)</f>
        <v>-6.1865612335054297E-2</v>
      </c>
      <c r="AT44" s="34">
        <f>AT43-(AL43*AY44)</f>
        <v>-3.691055684109306E-2</v>
      </c>
      <c r="AU44" s="34">
        <f>AU43-(AK43*AY44)</f>
        <v>-0.13518591761213539</v>
      </c>
      <c r="AV44" s="34">
        <f>AV43-(AJ43*AY44)</f>
        <v>-0.11267856422227455</v>
      </c>
      <c r="AW44" s="34">
        <f>AW43-(AI43*AY44)</f>
        <v>2.8278670689450627E-3</v>
      </c>
      <c r="AX44" s="40">
        <f>AX43-(AH43*AY44)</f>
        <v>-2.3050699688338186E-3</v>
      </c>
      <c r="AY44" s="39">
        <f>(AF44-(AH43*AF43+AI43*AF42+AJ43*AF41+AK43*AF40+AL43*AF39+AM43*AF38+AN43*AF37+AO43*AF36+AP43*AF35+AQ43*AF34+AR43*AF33+AS43*AF32+AT43*AF31+AU43*AF30+AV43*AF29+AW43*AF28+AX43*AF27))/(1-(AH43*AF27+AI43*AF28+AJ43*AF29+AK43*AF30+AL43*AF31+AM43*AF32+AN43*AF33+AO43*AF34+AP43*AF35+AQ43*AF36+AR43*AF37+AS43*AF38+AT43*AF39+AU43*AF40+AV43*AF41+AW43*AF42+AX43*AF43))</f>
        <v>0.14726130081740499</v>
      </c>
      <c r="AZ44" s="44"/>
      <c r="BA44" s="44"/>
    </row>
    <row r="45" spans="1:53">
      <c r="A45" s="38">
        <v>43</v>
      </c>
      <c r="B45" s="37">
        <v>6.763080691908292</v>
      </c>
      <c r="C45" s="35">
        <f t="shared" si="7"/>
        <v>4.9835379751773745</v>
      </c>
      <c r="D45" s="35"/>
      <c r="P45" s="294">
        <v>42</v>
      </c>
      <c r="Q45" s="36">
        <f t="shared" si="14"/>
        <v>4.6053789621375438</v>
      </c>
      <c r="R45" s="35">
        <f t="shared" si="15"/>
        <v>4.5908891662191769</v>
      </c>
      <c r="S45" s="48"/>
      <c r="V45" s="34"/>
      <c r="AE45" s="43">
        <v>19</v>
      </c>
      <c r="AF45" s="42">
        <f t="shared" si="21"/>
        <v>-0.15555016171783487</v>
      </c>
      <c r="AG45" s="41">
        <f>AX45</f>
        <v>-5.1369699112283007E-2</v>
      </c>
      <c r="AH45" s="41">
        <f>AH44-(AY44*AZ45)</f>
        <v>-0.1122759073317247</v>
      </c>
      <c r="AI45" s="41">
        <f>AI44-(AX44*AZ45)</f>
        <v>-0.29685451285126196</v>
      </c>
      <c r="AJ45" s="41">
        <f>AJ44-(AW44*AZ45)</f>
        <v>-1.1128984103550638E-2</v>
      </c>
      <c r="AK45" s="34">
        <f>AK44-(AV44*AZ45)</f>
        <v>-0.25832750915538449</v>
      </c>
      <c r="AL45" s="34">
        <f>AL44-(AU44*AZ45)</f>
        <v>-0.25048904275485478</v>
      </c>
      <c r="AM45" s="34">
        <f>AM44-(AT44*AZ45)</f>
        <v>2.0010905759173803E-2</v>
      </c>
      <c r="AN45" s="34">
        <f>AN44-(AR44*AZ45)</f>
        <v>-0.3159767619619781</v>
      </c>
      <c r="AO45" s="34">
        <f>AO44-(AR44*AZ45)</f>
        <v>-5.8196593729388894E-3</v>
      </c>
      <c r="AP45" s="34">
        <f>AP44-(AQ44*AZ45)</f>
        <v>-0.21152879298974411</v>
      </c>
      <c r="AQ45" s="34">
        <f>AQ44-(AP44*AZ45)</f>
        <v>-0.21431396961181914</v>
      </c>
      <c r="AR45" s="34">
        <f>AR44-(AO44*AZ45)</f>
        <v>-0.1031666491336031</v>
      </c>
      <c r="AS45" s="34">
        <f>AS44-(AN44*AZ45)</f>
        <v>-0.11127998373631921</v>
      </c>
      <c r="AT45" s="34">
        <f>AT44-(AM44*AZ45)</f>
        <v>-3.2587942837447481E-2</v>
      </c>
      <c r="AU45" s="34">
        <f>AU44-(AL44*AZ45)</f>
        <v>-0.1729379272119346</v>
      </c>
      <c r="AV45" s="34">
        <f>AV44-(AK44*AZ45)</f>
        <v>-0.15234423652728468</v>
      </c>
      <c r="AW45" s="34">
        <f>AW44-(AJ44*AZ45)</f>
        <v>9.0863170353931103E-4</v>
      </c>
      <c r="AX45" s="40">
        <f>AX44-(AI44*AZ45)</f>
        <v>-5.1369699112283007E-2</v>
      </c>
      <c r="AY45" s="40">
        <f>AY44-(AH44*AZ45)</f>
        <v>0.12464701502250723</v>
      </c>
      <c r="AZ45" s="39">
        <f>(AF45-(AH44*AF44+AI44*AF43+AJ44*AF42+AK44*AF41+AL44*AF40+AM44*AF39+AN44*AF38+AO44*AF37+AP44*AF36+AQ44*AF35+AR44*AF34+AS44*AF33+AT44*AF32+AU44*AF31+AV44*AF30+AW44*AF29+AX44*AF28+AY44*AF27))/(1-(AH44*AF27+AI44*AF28+AJ44*AF29+AK44*AF30+AL44*AF31+AM44*AF32+AN44*AF33+AO44*AF34+AP44*AF35+AQ44*AF36+AR44*AF37+AS44*AF38+AT44*AF39+AU44*AF40+AV44*AF41+AW44*AF42+AX44*AF43+AY44*AF44))</f>
        <v>-0.16549440615331873</v>
      </c>
      <c r="BA45" s="44"/>
    </row>
    <row r="46" spans="1:53">
      <c r="A46" s="38">
        <v>44</v>
      </c>
      <c r="B46" s="37">
        <v>4.905232276763309</v>
      </c>
      <c r="C46" s="35">
        <f t="shared" si="7"/>
        <v>3.1256895600323915</v>
      </c>
      <c r="D46" s="35"/>
      <c r="P46" s="294">
        <v>43</v>
      </c>
      <c r="Q46" s="36">
        <f t="shared" si="14"/>
        <v>-1.857848415144983</v>
      </c>
      <c r="R46" s="35">
        <f t="shared" si="15"/>
        <v>-1.8723382110633504</v>
      </c>
      <c r="S46" s="48"/>
      <c r="V46" s="34"/>
      <c r="AE46" s="43">
        <v>20</v>
      </c>
      <c r="AF46" s="42">
        <f t="shared" si="21"/>
        <v>-1.9766773118641837E-2</v>
      </c>
      <c r="AG46" s="41">
        <f>AX46</f>
        <v>-5.1792374058407115E-2</v>
      </c>
      <c r="AH46" s="41">
        <f>AH45-(AZ45*BA46)</f>
        <v>-0.1185613273263833</v>
      </c>
      <c r="AI46" s="41">
        <f>AI45-(AY45*BA46)</f>
        <v>-0.29212046256698132</v>
      </c>
      <c r="AJ46" s="41">
        <f>AJ45-(AX45*BA46)</f>
        <v>-1.3079987411909076E-2</v>
      </c>
      <c r="AK46" s="34">
        <f>AK45-(AW45*AI46)</f>
        <v>-0.25806207924184354</v>
      </c>
      <c r="AL46" s="34">
        <f>AL45-(AV45*BA46)</f>
        <v>-0.25627502388011708</v>
      </c>
      <c r="AM46" s="34">
        <f>AM45-(AU45*BA46)</f>
        <v>1.3442783423209825E-2</v>
      </c>
      <c r="AN46" s="34">
        <f>AN45-(AR45*BA46)</f>
        <v>-0.31989499541964278</v>
      </c>
      <c r="AO46" s="34">
        <f>AO45-(AS45*BA46)</f>
        <v>-1.0046034457384716E-2</v>
      </c>
      <c r="AP46" s="34">
        <f>AP45-(AR45*BA46)</f>
        <v>-0.21544702644740876</v>
      </c>
      <c r="AQ46" s="34">
        <f>AQ45-(AQ45*BA46)</f>
        <v>-0.2224535396495208</v>
      </c>
      <c r="AR46" s="34">
        <f>AR45-(AP45*BA46)</f>
        <v>-0.11120043913174966</v>
      </c>
      <c r="AS46" s="34">
        <f>AS45-(AO45*BA46)</f>
        <v>-0.11150101237550405</v>
      </c>
      <c r="AT46" s="34">
        <f>AT45-(AN45*BA46)</f>
        <v>-4.4588630375148104E-2</v>
      </c>
      <c r="AU46" s="34">
        <f>AU45-(AM45*BA46)</f>
        <v>-0.17217791997003776</v>
      </c>
      <c r="AV46" s="34">
        <f>AV45-(AL45*BA46)</f>
        <v>-0.16185772326299744</v>
      </c>
      <c r="AW46" s="34">
        <f>AW45-(AK45*BA46)</f>
        <v>-8.9025572602215962E-3</v>
      </c>
      <c r="AX46" s="40">
        <f>AX45-(AJ45*BA46)</f>
        <v>-5.1792374058407115E-2</v>
      </c>
      <c r="AY46" s="40">
        <f>AY45-(AH45*BA46)</f>
        <v>0.12038281510624253</v>
      </c>
      <c r="AZ46" s="40">
        <f>AZ45-(AH45*BA46)</f>
        <v>-0.16975860606958343</v>
      </c>
      <c r="BA46" s="39">
        <f>(AF46-(AH45*AF45+AI45*AF44+AJ45*AF43+AK45*AF42+AL45*AF41+AM45*AF40+AN45*AF39+AO45*AF38+AP45*AF37+AQ45*AF36+AR45*AF35+AS45*AF34+AT45*AF33+AU45*AF32+AV45*AF31+AW45*AF30+AX45*AF29+AY45*AF28+AZ45*AF27))/(1-(AH45*AF27+AI45*AF28+AJ45*AF29+AK45*AF30+AL45*AF31+AM45*AF32+AN45*AF33+AO45*AF34+AP45*AF35+AQ45*AF36+AR45*AF37+AS45*AF38+AT45*AF39+AU45*AF40+AV45*AF41+AW45*AF42+AX45*AF43+AY45*AF44+AZ45*AF45))</f>
        <v>-3.7979652247796258E-2</v>
      </c>
    </row>
    <row r="47" spans="1:53">
      <c r="A47" s="38">
        <v>45</v>
      </c>
      <c r="B47" s="37">
        <v>1.4620929107053158</v>
      </c>
      <c r="C47" s="35">
        <f t="shared" si="7"/>
        <v>-0.31744980602560191</v>
      </c>
      <c r="D47" s="35"/>
      <c r="P47" s="294">
        <v>44</v>
      </c>
      <c r="Q47" s="36">
        <f t="shared" si="14"/>
        <v>-3.4431393660579932</v>
      </c>
      <c r="R47" s="35">
        <f t="shared" si="15"/>
        <v>-3.4576291619763606</v>
      </c>
      <c r="S47" s="48"/>
      <c r="V47" s="34"/>
    </row>
    <row r="48" spans="1:53">
      <c r="A48" s="38">
        <v>46</v>
      </c>
      <c r="B48" s="37">
        <v>-1.6151628357178818</v>
      </c>
      <c r="C48" s="35">
        <f t="shared" si="7"/>
        <v>-3.3947055524487997</v>
      </c>
      <c r="D48" s="35"/>
      <c r="P48" s="294">
        <v>45</v>
      </c>
      <c r="Q48" s="36">
        <f t="shared" si="14"/>
        <v>-3.0772557464231975</v>
      </c>
      <c r="R48" s="35">
        <f t="shared" si="15"/>
        <v>-3.091745542341565</v>
      </c>
      <c r="S48" s="48"/>
      <c r="V48" s="34"/>
    </row>
    <row r="49" spans="1:22">
      <c r="A49" s="38">
        <v>47</v>
      </c>
      <c r="B49" s="37">
        <v>-4.5460651342871614</v>
      </c>
      <c r="C49" s="35">
        <f t="shared" si="7"/>
        <v>-6.3256078510180789</v>
      </c>
      <c r="D49" s="35"/>
      <c r="P49" s="294">
        <v>46</v>
      </c>
      <c r="Q49" s="36">
        <f t="shared" si="14"/>
        <v>-2.9309022985692796</v>
      </c>
      <c r="R49" s="35">
        <f t="shared" si="15"/>
        <v>-2.9453920944876471</v>
      </c>
      <c r="S49" s="48"/>
      <c r="V49" s="34"/>
    </row>
    <row r="50" spans="1:22">
      <c r="A50" s="38">
        <v>48</v>
      </c>
      <c r="B50" s="37">
        <v>-1.4184260537148732</v>
      </c>
      <c r="C50" s="35">
        <f t="shared" si="7"/>
        <v>-3.1979687704457911</v>
      </c>
      <c r="D50" s="35"/>
      <c r="P50" s="294">
        <v>47</v>
      </c>
      <c r="Q50" s="36">
        <f t="shared" si="14"/>
        <v>3.1276390805722882</v>
      </c>
      <c r="R50" s="35">
        <f t="shared" si="15"/>
        <v>3.1131492846539208</v>
      </c>
      <c r="S50" s="48"/>
      <c r="V50" s="34"/>
    </row>
    <row r="51" spans="1:22">
      <c r="A51" s="38">
        <v>49</v>
      </c>
      <c r="B51" s="37">
        <v>1.1326295785140421</v>
      </c>
      <c r="C51" s="35">
        <f t="shared" si="7"/>
        <v>-0.64691313821687557</v>
      </c>
      <c r="D51" s="35"/>
      <c r="P51" s="294">
        <v>48</v>
      </c>
      <c r="Q51" s="36">
        <f t="shared" si="14"/>
        <v>2.5510556322289153</v>
      </c>
      <c r="R51" s="35">
        <f t="shared" si="15"/>
        <v>2.5365658363105479</v>
      </c>
      <c r="S51" s="48"/>
      <c r="V51" s="34"/>
    </row>
    <row r="52" spans="1:22">
      <c r="A52" s="38">
        <v>50</v>
      </c>
      <c r="B52" s="37">
        <v>2.0099999999999998</v>
      </c>
      <c r="C52" s="35">
        <f t="shared" si="7"/>
        <v>0.2304572832690821</v>
      </c>
      <c r="P52" s="294">
        <v>49</v>
      </c>
      <c r="Q52" s="36">
        <f t="shared" si="14"/>
        <v>0.87737042148595767</v>
      </c>
      <c r="R52" s="35">
        <f t="shared" si="15"/>
        <v>0.86288062556759026</v>
      </c>
      <c r="S52" s="48"/>
    </row>
    <row r="53" spans="1:22">
      <c r="P53" s="294">
        <v>50</v>
      </c>
      <c r="Q53" s="36">
        <f t="shared" si="14"/>
        <v>-2.0099999999999998</v>
      </c>
      <c r="R53" s="35">
        <f t="shared" si="15"/>
        <v>-2.0244897959183672</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4"/>
  <sheetViews>
    <sheetView zoomScale="80" zoomScaleNormal="80" workbookViewId="0">
      <selection activeCell="C11" sqref="C11"/>
    </sheetView>
  </sheetViews>
  <sheetFormatPr defaultRowHeight="15"/>
  <cols>
    <col min="4" max="4" width="13.28515625" customWidth="1"/>
    <col min="6" max="6" width="21.7109375" customWidth="1"/>
    <col min="8" max="8" width="10.140625" customWidth="1"/>
    <col min="9" max="9" width="8.85546875" customWidth="1"/>
  </cols>
  <sheetData>
    <row r="1" spans="1:20" ht="18">
      <c r="A1" s="161" t="s">
        <v>207</v>
      </c>
      <c r="B1" s="162" t="s">
        <v>235</v>
      </c>
      <c r="C1" s="162"/>
      <c r="D1" s="162"/>
      <c r="E1" s="162"/>
      <c r="F1" s="162"/>
      <c r="G1" s="162"/>
      <c r="H1" s="162"/>
      <c r="I1" s="162"/>
      <c r="J1" s="162"/>
      <c r="K1" s="162"/>
      <c r="L1" s="162"/>
      <c r="M1" s="162"/>
      <c r="N1" s="162"/>
    </row>
    <row r="2" spans="1:20" ht="15.75">
      <c r="A2" s="6" t="s">
        <v>0</v>
      </c>
      <c r="B2" s="6"/>
      <c r="C2" s="6" t="s">
        <v>1</v>
      </c>
      <c r="D2" s="17" t="s">
        <v>14</v>
      </c>
      <c r="E2" s="6" t="s">
        <v>1</v>
      </c>
      <c r="F2" s="17" t="s">
        <v>15</v>
      </c>
      <c r="G2" s="6" t="s">
        <v>1</v>
      </c>
      <c r="H2" s="17" t="s">
        <v>16</v>
      </c>
      <c r="I2" s="2"/>
      <c r="J2" s="2"/>
      <c r="K2" s="2"/>
      <c r="L2" s="10" t="s">
        <v>14</v>
      </c>
      <c r="N2" s="10" t="s">
        <v>15</v>
      </c>
      <c r="Q2" s="10" t="s">
        <v>16</v>
      </c>
      <c r="T2" s="1" t="s">
        <v>39</v>
      </c>
    </row>
    <row r="3" spans="1:20" ht="18.75">
      <c r="A3" s="13" t="s">
        <v>23</v>
      </c>
      <c r="B3" s="58">
        <f>'1. Autocorr'!D2</f>
        <v>702.96013227618414</v>
      </c>
      <c r="C3" s="2"/>
      <c r="D3" s="2"/>
      <c r="E3" s="2"/>
      <c r="F3" s="2"/>
      <c r="G3" s="2"/>
      <c r="H3" s="2"/>
      <c r="I3" s="2"/>
      <c r="J3" s="2"/>
      <c r="K3" s="2"/>
      <c r="L3" s="10"/>
      <c r="N3" s="10"/>
      <c r="Q3" s="10"/>
      <c r="T3" s="15" t="s">
        <v>37</v>
      </c>
    </row>
    <row r="4" spans="1:20" ht="18.75">
      <c r="A4" s="13" t="s">
        <v>24</v>
      </c>
      <c r="B4" s="58">
        <f>'1. Autocorr'!D3</f>
        <v>497.75440082378066</v>
      </c>
      <c r="C4" s="2"/>
      <c r="D4" s="2"/>
      <c r="E4" s="2"/>
      <c r="F4" s="2"/>
      <c r="G4" s="2"/>
      <c r="H4" s="2"/>
      <c r="I4" s="2"/>
      <c r="J4" s="2"/>
      <c r="K4" s="2"/>
      <c r="L4" s="10"/>
      <c r="N4" s="10"/>
      <c r="Q4" s="10"/>
      <c r="T4" t="s">
        <v>240</v>
      </c>
    </row>
    <row r="5" spans="1:20" ht="18.75">
      <c r="A5" s="13" t="s">
        <v>25</v>
      </c>
      <c r="B5" s="58">
        <f>'1. Autocorr'!D4</f>
        <v>355.805149312254</v>
      </c>
      <c r="C5" s="3">
        <f>B8*B4-B5</f>
        <v>0.61437337113540025</v>
      </c>
      <c r="D5" s="3" t="s">
        <v>33</v>
      </c>
      <c r="E5" s="3">
        <f>B8*B4+B9*B3-B5</f>
        <v>1.3173335034115894</v>
      </c>
      <c r="F5" s="3" t="s">
        <v>34</v>
      </c>
      <c r="G5" s="3">
        <f>B8*B4+B9*B3-B5</f>
        <v>1.3173335034115894</v>
      </c>
      <c r="H5" s="3" t="s">
        <v>34</v>
      </c>
      <c r="I5" s="2"/>
      <c r="J5" s="2"/>
      <c r="K5" s="2"/>
      <c r="L5" s="12" t="s">
        <v>45</v>
      </c>
      <c r="N5" s="12" t="s">
        <v>46</v>
      </c>
      <c r="Q5" s="12" t="s">
        <v>46</v>
      </c>
      <c r="T5" t="s">
        <v>241</v>
      </c>
    </row>
    <row r="6" spans="1:20" ht="18.75">
      <c r="A6" s="13" t="s">
        <v>26</v>
      </c>
      <c r="B6" s="58">
        <f>'1. Autocorr'!D5</f>
        <v>297.07657162384561</v>
      </c>
      <c r="C6" s="2"/>
      <c r="D6" s="2"/>
      <c r="E6" s="3">
        <f>B8*B5+B9*B4-B6</f>
        <v>-41.802764462290639</v>
      </c>
      <c r="F6" s="3" t="s">
        <v>35</v>
      </c>
      <c r="G6" s="3">
        <f>B8*B5+B9*B4-B6</f>
        <v>-41.802764462290639</v>
      </c>
      <c r="H6" s="3" t="s">
        <v>35</v>
      </c>
      <c r="I6" s="2"/>
      <c r="J6" s="2"/>
      <c r="K6" s="2"/>
      <c r="N6" s="12" t="s">
        <v>43</v>
      </c>
      <c r="Q6" s="12" t="s">
        <v>43</v>
      </c>
      <c r="T6" t="s">
        <v>242</v>
      </c>
    </row>
    <row r="7" spans="1:20" ht="18.75">
      <c r="A7" s="13" t="s">
        <v>27</v>
      </c>
      <c r="B7" s="58">
        <f>'1. Autocorr'!D6</f>
        <v>153.66765064491162</v>
      </c>
      <c r="C7" s="2"/>
      <c r="D7" s="2"/>
      <c r="E7" s="2"/>
      <c r="F7" s="2"/>
      <c r="G7" s="3">
        <f>B8*B6+B9*B5+B10*B4-B7</f>
        <v>59.909070535441202</v>
      </c>
      <c r="H7" s="3" t="s">
        <v>36</v>
      </c>
      <c r="I7" s="2"/>
      <c r="J7" s="2"/>
      <c r="K7" s="2"/>
      <c r="Q7" s="12" t="s">
        <v>47</v>
      </c>
      <c r="T7" t="s">
        <v>38</v>
      </c>
    </row>
    <row r="8" spans="1:20" ht="18.75">
      <c r="A8" s="14" t="s">
        <v>28</v>
      </c>
      <c r="B8" s="253">
        <v>0.71605499035973796</v>
      </c>
      <c r="C8" s="2"/>
      <c r="D8" s="2"/>
      <c r="E8" s="2"/>
      <c r="F8" s="2"/>
      <c r="G8" s="2"/>
      <c r="H8" s="2"/>
      <c r="I8" s="2"/>
      <c r="J8" s="2"/>
      <c r="K8" s="2"/>
      <c r="Q8" s="11"/>
    </row>
    <row r="9" spans="1:20" ht="18.75">
      <c r="A9" s="14" t="s">
        <v>29</v>
      </c>
      <c r="B9" s="253">
        <v>1E-3</v>
      </c>
      <c r="C9" s="2"/>
      <c r="D9" s="2"/>
      <c r="E9" s="2"/>
      <c r="F9" s="2"/>
      <c r="G9" s="2"/>
      <c r="H9" s="2"/>
      <c r="I9" s="2"/>
      <c r="J9" s="2"/>
      <c r="K9" s="2"/>
      <c r="Q9" s="11"/>
    </row>
    <row r="10" spans="1:20" ht="18.75">
      <c r="A10" s="14" t="s">
        <v>30</v>
      </c>
      <c r="B10" s="253">
        <v>1E-3</v>
      </c>
      <c r="C10" s="2"/>
      <c r="D10" s="2"/>
      <c r="E10" s="2"/>
      <c r="F10" s="2"/>
      <c r="G10" s="2"/>
      <c r="H10" s="2"/>
      <c r="I10" s="2"/>
      <c r="J10" s="2"/>
      <c r="K10" s="2"/>
      <c r="Q10" s="11"/>
    </row>
    <row r="11" spans="1:20" ht="15.75">
      <c r="A11" s="18" t="s">
        <v>68</v>
      </c>
      <c r="B11" s="21"/>
      <c r="C11" s="19">
        <f>C5</f>
        <v>0.61437337113540025</v>
      </c>
      <c r="E11" s="19">
        <f>SUM(E5:E6)</f>
        <v>-40.48543095887905</v>
      </c>
      <c r="G11" s="19">
        <f>SUM(G5:G7)</f>
        <v>19.423639576562152</v>
      </c>
      <c r="P11" s="11"/>
    </row>
    <row r="12" spans="1:20" ht="15.75">
      <c r="A12" s="8" t="s">
        <v>0</v>
      </c>
      <c r="B12" s="8"/>
      <c r="C12" s="8" t="s">
        <v>1</v>
      </c>
      <c r="D12" s="29" t="s">
        <v>17</v>
      </c>
      <c r="E12" s="8" t="s">
        <v>1</v>
      </c>
      <c r="F12" s="29" t="s">
        <v>18</v>
      </c>
      <c r="G12" s="8" t="s">
        <v>1</v>
      </c>
      <c r="H12" s="29" t="s">
        <v>19</v>
      </c>
      <c r="I12" s="4"/>
      <c r="J12" s="4"/>
      <c r="K12" s="4"/>
      <c r="L12" s="10" t="s">
        <v>17</v>
      </c>
      <c r="N12" s="10" t="s">
        <v>18</v>
      </c>
      <c r="Q12" s="10" t="s">
        <v>19</v>
      </c>
    </row>
    <row r="13" spans="1:20" ht="18.75">
      <c r="A13" s="22" t="s">
        <v>23</v>
      </c>
      <c r="B13" s="59">
        <f>'1. Autocorr'!D2</f>
        <v>702.96013227618414</v>
      </c>
      <c r="C13" s="4"/>
      <c r="D13" s="4"/>
      <c r="E13" s="4"/>
      <c r="F13" s="4"/>
      <c r="G13" s="4"/>
      <c r="H13" s="4"/>
      <c r="I13" s="4"/>
      <c r="J13" s="4"/>
      <c r="K13" s="4"/>
      <c r="Q13" s="11"/>
    </row>
    <row r="14" spans="1:20" ht="18.75">
      <c r="A14" s="22" t="s">
        <v>24</v>
      </c>
      <c r="B14" s="59">
        <f>'1. Autocorr'!D3</f>
        <v>497.75440082378066</v>
      </c>
      <c r="C14" s="4"/>
      <c r="D14" s="4"/>
      <c r="E14" s="4"/>
      <c r="F14" s="4"/>
      <c r="G14" s="4"/>
      <c r="H14" s="4"/>
      <c r="I14" s="4"/>
      <c r="J14" s="4"/>
      <c r="K14" s="4"/>
    </row>
    <row r="15" spans="1:20" ht="18.75">
      <c r="A15" s="22" t="s">
        <v>25</v>
      </c>
      <c r="B15" s="59">
        <f>'1. Autocorr'!D4</f>
        <v>355.805149312254</v>
      </c>
      <c r="C15" s="4"/>
      <c r="D15" s="4"/>
      <c r="E15" s="4"/>
      <c r="F15" s="4"/>
      <c r="G15" s="4"/>
      <c r="H15" s="4"/>
      <c r="I15" s="4"/>
      <c r="J15" s="4"/>
      <c r="K15" s="4"/>
    </row>
    <row r="16" spans="1:20" ht="18.75">
      <c r="A16" s="22" t="s">
        <v>26</v>
      </c>
      <c r="B16" s="59">
        <f>'1. Autocorr'!D5</f>
        <v>297.07657162384561</v>
      </c>
      <c r="C16" s="5">
        <f>B19*B15-B16</f>
        <v>-296.72076647453338</v>
      </c>
      <c r="D16" s="5" t="s">
        <v>56</v>
      </c>
      <c r="E16" s="5">
        <f>B19*B15+B20*B14-B16</f>
        <v>-296.22301207370958</v>
      </c>
      <c r="F16" s="5" t="s">
        <v>57</v>
      </c>
      <c r="G16" s="5">
        <f>B19*B15+B20*B14+B21*B13-B16</f>
        <v>-295.52005194143339</v>
      </c>
      <c r="H16" s="5" t="s">
        <v>59</v>
      </c>
      <c r="I16" s="4"/>
      <c r="J16" s="4"/>
      <c r="K16" s="4"/>
      <c r="L16" s="12" t="s">
        <v>48</v>
      </c>
      <c r="N16" s="12" t="s">
        <v>43</v>
      </c>
      <c r="Q16" s="12" t="s">
        <v>49</v>
      </c>
    </row>
    <row r="17" spans="1:17" ht="18.75">
      <c r="A17" s="22" t="s">
        <v>27</v>
      </c>
      <c r="B17" s="59">
        <f>'1. Autocorr'!D6</f>
        <v>153.66765064491162</v>
      </c>
      <c r="C17" s="4"/>
      <c r="D17" s="4"/>
      <c r="E17" s="5">
        <f>B19*B16+B20*B15-B17</f>
        <v>-153.01476892397551</v>
      </c>
      <c r="F17" s="5" t="s">
        <v>58</v>
      </c>
      <c r="G17" s="5">
        <f>B19*B16+B20*B15+B21*B14-B17</f>
        <v>-152.51701452315174</v>
      </c>
      <c r="H17" s="5" t="s">
        <v>60</v>
      </c>
      <c r="I17" s="4"/>
      <c r="J17" s="4"/>
      <c r="K17" s="4"/>
      <c r="N17" s="12" t="s">
        <v>44</v>
      </c>
      <c r="Q17" s="12" t="s">
        <v>47</v>
      </c>
    </row>
    <row r="18" spans="1:17" ht="18.75">
      <c r="A18" s="22" t="s">
        <v>31</v>
      </c>
      <c r="B18" s="59">
        <f>'1. Autocorr'!D7</f>
        <v>102.06736770439281</v>
      </c>
      <c r="C18" s="4"/>
      <c r="D18" s="4"/>
      <c r="E18" s="4"/>
      <c r="F18" s="4"/>
      <c r="G18" s="5">
        <f>B19*B17+B20*B16+B21*B15-B18</f>
        <v>-101.26081833281179</v>
      </c>
      <c r="H18" s="5" t="s">
        <v>61</v>
      </c>
      <c r="I18" s="4"/>
      <c r="J18" s="4"/>
      <c r="K18" s="4"/>
      <c r="Q18" s="12" t="s">
        <v>50</v>
      </c>
    </row>
    <row r="19" spans="1:17" ht="18.75">
      <c r="A19" s="60" t="s">
        <v>28</v>
      </c>
      <c r="B19" s="4">
        <v>1E-3</v>
      </c>
      <c r="C19" s="4"/>
      <c r="D19" s="4"/>
      <c r="E19" s="4"/>
      <c r="F19" s="4"/>
      <c r="G19" s="4"/>
      <c r="H19" s="4"/>
      <c r="I19" s="4"/>
      <c r="J19" s="4"/>
      <c r="K19" s="4"/>
      <c r="Q19" s="11"/>
    </row>
    <row r="20" spans="1:17" ht="18.75">
      <c r="A20" s="60" t="s">
        <v>29</v>
      </c>
      <c r="B20" s="4">
        <v>1E-3</v>
      </c>
      <c r="C20" s="4"/>
      <c r="D20" s="4"/>
      <c r="E20" s="4"/>
      <c r="F20" s="4"/>
      <c r="G20" s="4"/>
      <c r="H20" s="4"/>
      <c r="I20" s="4"/>
      <c r="J20" s="4"/>
      <c r="K20" s="4"/>
      <c r="Q20" s="11"/>
    </row>
    <row r="21" spans="1:17" ht="18.75">
      <c r="A21" s="60" t="s">
        <v>30</v>
      </c>
      <c r="B21" s="4">
        <v>1E-3</v>
      </c>
      <c r="C21" s="4"/>
      <c r="D21" s="4"/>
      <c r="E21" s="4"/>
      <c r="F21" s="4"/>
      <c r="G21" s="4"/>
      <c r="H21" s="4"/>
      <c r="I21" s="4"/>
      <c r="J21" s="4"/>
      <c r="K21" s="4"/>
      <c r="Q21" s="11"/>
    </row>
    <row r="22" spans="1:17" ht="15.75">
      <c r="A22" s="61" t="s">
        <v>68</v>
      </c>
      <c r="B22" s="24"/>
      <c r="C22" s="25">
        <f>C16</f>
        <v>-296.72076647453338</v>
      </c>
      <c r="E22" s="25">
        <f>SUM(E16:E17)</f>
        <v>-449.23778099768509</v>
      </c>
      <c r="G22" s="25">
        <f>SUM(G16:G18)</f>
        <v>-549.29788479739693</v>
      </c>
      <c r="H22" s="16"/>
      <c r="Q22" s="11"/>
    </row>
    <row r="23" spans="1:17" ht="15.75">
      <c r="A23" s="164" t="s">
        <v>0</v>
      </c>
      <c r="B23" s="164"/>
      <c r="C23" s="164" t="s">
        <v>1</v>
      </c>
      <c r="D23" s="165" t="s">
        <v>20</v>
      </c>
      <c r="E23" s="164" t="s">
        <v>1</v>
      </c>
      <c r="F23" s="165" t="s">
        <v>21</v>
      </c>
      <c r="G23" s="164" t="s">
        <v>1</v>
      </c>
      <c r="H23" s="165" t="s">
        <v>22</v>
      </c>
      <c r="I23" s="166"/>
      <c r="J23" s="166"/>
      <c r="K23" s="166"/>
      <c r="L23" s="10" t="s">
        <v>20</v>
      </c>
      <c r="N23" s="10" t="s">
        <v>21</v>
      </c>
      <c r="Q23" s="10" t="s">
        <v>22</v>
      </c>
    </row>
    <row r="24" spans="1:17" ht="18.75">
      <c r="A24" s="167" t="s">
        <v>23</v>
      </c>
      <c r="B24" s="168">
        <f>'1. Autocorr'!D2</f>
        <v>702.96013227618414</v>
      </c>
      <c r="C24" s="166"/>
      <c r="D24" s="166"/>
      <c r="E24" s="166"/>
      <c r="F24" s="166"/>
      <c r="G24" s="166"/>
      <c r="H24" s="166"/>
      <c r="I24" s="166"/>
      <c r="J24" s="166"/>
      <c r="K24" s="166"/>
      <c r="Q24" s="11"/>
    </row>
    <row r="25" spans="1:17" ht="18.75">
      <c r="A25" s="167" t="s">
        <v>24</v>
      </c>
      <c r="B25" s="168">
        <f>'1. Autocorr'!D3</f>
        <v>497.75440082378066</v>
      </c>
      <c r="C25" s="166"/>
      <c r="D25" s="166"/>
      <c r="E25" s="166"/>
      <c r="F25" s="166"/>
      <c r="G25" s="166"/>
      <c r="H25" s="166"/>
      <c r="I25" s="166"/>
      <c r="J25" s="166"/>
      <c r="K25" s="166"/>
      <c r="Q25" s="11"/>
    </row>
    <row r="26" spans="1:17" ht="18.75">
      <c r="A26" s="167" t="s">
        <v>25</v>
      </c>
      <c r="B26" s="168">
        <f>'1. Autocorr'!D4</f>
        <v>355.805149312254</v>
      </c>
      <c r="C26" s="166"/>
      <c r="D26" s="166"/>
      <c r="E26" s="166"/>
      <c r="F26" s="166"/>
      <c r="G26" s="166"/>
      <c r="H26" s="166"/>
      <c r="I26" s="166"/>
      <c r="J26" s="166"/>
      <c r="K26" s="166"/>
    </row>
    <row r="27" spans="1:17" ht="18.75">
      <c r="A27" s="167" t="s">
        <v>26</v>
      </c>
      <c r="B27" s="168">
        <f>'1. Autocorr'!D5</f>
        <v>297.07657162384561</v>
      </c>
      <c r="C27" s="166"/>
      <c r="D27" s="166"/>
      <c r="E27" s="166"/>
      <c r="F27" s="166"/>
      <c r="G27" s="166"/>
      <c r="H27" s="166"/>
      <c r="I27" s="166"/>
      <c r="J27" s="166"/>
      <c r="K27" s="166"/>
      <c r="L27" s="10"/>
      <c r="N27" s="10"/>
      <c r="Q27" s="10"/>
    </row>
    <row r="28" spans="1:17" ht="18.75">
      <c r="A28" s="167" t="s">
        <v>27</v>
      </c>
      <c r="B28" s="168">
        <f>'1. Autocorr'!D6</f>
        <v>153.66765064491162</v>
      </c>
      <c r="C28" s="169">
        <f>B31*B27-B28</f>
        <v>-153.37057407328777</v>
      </c>
      <c r="D28" s="169" t="s">
        <v>62</v>
      </c>
      <c r="E28" s="169">
        <f>B31*B27+B32*B26-B28</f>
        <v>-153.01476892397551</v>
      </c>
      <c r="F28" s="169" t="s">
        <v>63</v>
      </c>
      <c r="G28" s="169">
        <f>B31*B27+B32*B26+B33*B25-B28</f>
        <v>-152.51701452315174</v>
      </c>
      <c r="H28" s="169" t="s">
        <v>65</v>
      </c>
      <c r="I28" s="166"/>
      <c r="J28" s="166"/>
      <c r="K28" s="166"/>
      <c r="L28" s="12" t="s">
        <v>51</v>
      </c>
      <c r="N28" s="12" t="s">
        <v>52</v>
      </c>
      <c r="Q28" s="12" t="s">
        <v>47</v>
      </c>
    </row>
    <row r="29" spans="1:17" ht="18.75">
      <c r="A29" s="167" t="s">
        <v>31</v>
      </c>
      <c r="B29" s="168">
        <f>'1. Autocorr'!D7</f>
        <v>102.06736770439281</v>
      </c>
      <c r="C29" s="166"/>
      <c r="D29" s="166"/>
      <c r="E29" s="169">
        <f>B31*B28+B32*B27-B29</f>
        <v>-101.61662348212406</v>
      </c>
      <c r="F29" s="169" t="s">
        <v>64</v>
      </c>
      <c r="G29" s="169">
        <f>B31*B28+B32*B27+B33*B26-B29</f>
        <v>-101.26081833281179</v>
      </c>
      <c r="H29" s="169" t="s">
        <v>66</v>
      </c>
      <c r="I29" s="166"/>
      <c r="J29" s="166"/>
      <c r="K29" s="166"/>
      <c r="L29" s="11"/>
      <c r="N29" s="12" t="s">
        <v>53</v>
      </c>
      <c r="Q29" s="12" t="s">
        <v>54</v>
      </c>
    </row>
    <row r="30" spans="1:17" ht="18.75">
      <c r="A30" s="167" t="s">
        <v>32</v>
      </c>
      <c r="B30" s="168">
        <f>'1. Autocorr'!D8</f>
        <v>101.92155655768306</v>
      </c>
      <c r="C30" s="166"/>
      <c r="D30" s="166"/>
      <c r="E30" s="166"/>
      <c r="F30" s="166"/>
      <c r="G30" s="169">
        <f>B31*B29+B32*B28+B33*B27-B30</f>
        <v>-101.36874496770992</v>
      </c>
      <c r="H30" s="169" t="s">
        <v>67</v>
      </c>
      <c r="I30" s="166"/>
      <c r="J30" s="166"/>
      <c r="K30" s="166"/>
      <c r="Q30" s="12" t="s">
        <v>55</v>
      </c>
    </row>
    <row r="31" spans="1:17" ht="18.75">
      <c r="A31" s="170" t="s">
        <v>28</v>
      </c>
      <c r="B31" s="166">
        <v>1E-3</v>
      </c>
      <c r="C31" s="166"/>
      <c r="D31" s="166"/>
      <c r="E31" s="166"/>
      <c r="F31" s="166"/>
      <c r="G31" s="166"/>
      <c r="H31" s="166"/>
      <c r="I31" s="166"/>
      <c r="J31" s="166"/>
      <c r="K31" s="166"/>
    </row>
    <row r="32" spans="1:17" ht="18.75">
      <c r="A32" s="170" t="s">
        <v>29</v>
      </c>
      <c r="B32" s="166">
        <v>1E-3</v>
      </c>
      <c r="C32" s="166"/>
      <c r="D32" s="166"/>
      <c r="E32" s="166"/>
      <c r="F32" s="166"/>
      <c r="G32" s="166"/>
      <c r="H32" s="166"/>
      <c r="I32" s="166"/>
      <c r="J32" s="166"/>
      <c r="K32" s="166"/>
    </row>
    <row r="33" spans="1:11" ht="18.75">
      <c r="A33" s="170" t="s">
        <v>30</v>
      </c>
      <c r="B33" s="166">
        <v>1E-3</v>
      </c>
      <c r="C33" s="166"/>
      <c r="D33" s="166"/>
      <c r="E33" s="166"/>
      <c r="F33" s="166"/>
      <c r="G33" s="166"/>
      <c r="H33" s="166"/>
      <c r="I33" s="166"/>
      <c r="J33" s="166"/>
      <c r="K33" s="166"/>
    </row>
    <row r="34" spans="1:11" ht="15.75">
      <c r="A34" s="171" t="s">
        <v>68</v>
      </c>
      <c r="B34" s="172"/>
      <c r="C34" s="173">
        <f>C28</f>
        <v>-153.37057407328777</v>
      </c>
      <c r="E34" s="173">
        <f>SUM(E28:E29)</f>
        <v>-254.63139240609956</v>
      </c>
      <c r="G34" s="173">
        <f>SUM(G28:G30)</f>
        <v>-355.14657782367345</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1"/>
  <sheetViews>
    <sheetView zoomScale="80" zoomScaleNormal="80" workbookViewId="0">
      <selection activeCell="B11" sqref="B11"/>
    </sheetView>
  </sheetViews>
  <sheetFormatPr defaultRowHeight="15"/>
  <cols>
    <col min="2" max="2" width="8.85546875" style="15"/>
    <col min="3" max="3" width="54.42578125" customWidth="1"/>
    <col min="4" max="4" width="70.7109375" customWidth="1"/>
    <col min="5" max="5" width="70.5703125" customWidth="1"/>
    <col min="6" max="6" width="31.7109375" customWidth="1"/>
  </cols>
  <sheetData>
    <row r="1" spans="1:6">
      <c r="A1" s="6" t="s">
        <v>0</v>
      </c>
      <c r="B1" s="6"/>
      <c r="C1" s="6" t="s">
        <v>243</v>
      </c>
      <c r="D1" s="6" t="s">
        <v>244</v>
      </c>
      <c r="E1" s="6" t="s">
        <v>245</v>
      </c>
      <c r="F1" s="163" t="s">
        <v>136</v>
      </c>
    </row>
    <row r="2" spans="1:6" ht="18.75">
      <c r="A2" s="20" t="s">
        <v>69</v>
      </c>
      <c r="B2" s="62">
        <f>(B6*(1+B11))-(B11*B7)</f>
        <v>849.8987203330978</v>
      </c>
      <c r="C2" s="30" t="s">
        <v>77</v>
      </c>
      <c r="D2" s="30" t="s">
        <v>77</v>
      </c>
      <c r="E2" s="30" t="s">
        <v>77</v>
      </c>
      <c r="F2" s="162" t="s">
        <v>137</v>
      </c>
    </row>
    <row r="3" spans="1:6" ht="18.75">
      <c r="A3" s="20" t="s">
        <v>70</v>
      </c>
      <c r="B3" s="62">
        <f>(B7*(1+B11^2))-(B11*(B8+B6))</f>
        <v>-5.1637847981767209</v>
      </c>
      <c r="C3" s="30" t="s">
        <v>78</v>
      </c>
      <c r="D3" s="30" t="s">
        <v>78</v>
      </c>
      <c r="E3" s="30" t="s">
        <v>78</v>
      </c>
      <c r="F3" s="162" t="s">
        <v>138</v>
      </c>
    </row>
    <row r="4" spans="1:6" ht="18.75">
      <c r="A4" s="20" t="s">
        <v>73</v>
      </c>
      <c r="B4" s="62">
        <f>(B8*(1+B11^2))-(B11*(B9+B7))</f>
        <v>-30.903870997874606</v>
      </c>
      <c r="C4" s="2"/>
      <c r="D4" s="30" t="s">
        <v>79</v>
      </c>
      <c r="E4" s="30" t="s">
        <v>79</v>
      </c>
      <c r="F4" s="162" t="s">
        <v>251</v>
      </c>
    </row>
    <row r="5" spans="1:6" ht="18.75">
      <c r="A5" s="20" t="s">
        <v>75</v>
      </c>
      <c r="B5" s="62">
        <f>(B9*(1+B11^2))-(B11*(B10+B8))</f>
        <v>84.587512212386514</v>
      </c>
      <c r="C5" s="2"/>
      <c r="D5" s="2"/>
      <c r="E5" s="30" t="s">
        <v>80</v>
      </c>
    </row>
    <row r="6" spans="1:6" ht="18.75">
      <c r="A6" s="13" t="s">
        <v>23</v>
      </c>
      <c r="B6" s="62">
        <f>'2. Phi'!B3</f>
        <v>702.96013227618414</v>
      </c>
      <c r="C6" s="2"/>
      <c r="D6" s="2"/>
      <c r="E6" s="2"/>
    </row>
    <row r="7" spans="1:6" ht="18.75">
      <c r="A7" s="13" t="s">
        <v>24</v>
      </c>
      <c r="B7" s="62">
        <f>'2. Phi'!B4</f>
        <v>497.75440082378066</v>
      </c>
      <c r="C7" s="2"/>
      <c r="D7" s="2"/>
      <c r="E7" s="2"/>
    </row>
    <row r="8" spans="1:6" ht="18.75">
      <c r="A8" s="13" t="s">
        <v>25</v>
      </c>
      <c r="B8" s="62">
        <f>'2. Phi'!B5</f>
        <v>355.805149312254</v>
      </c>
      <c r="C8" s="2"/>
      <c r="D8" s="2"/>
      <c r="E8" s="2"/>
    </row>
    <row r="9" spans="1:6" ht="18.75">
      <c r="A9" s="13" t="s">
        <v>26</v>
      </c>
      <c r="B9" s="62">
        <f>'2. Phi'!B6</f>
        <v>297.07657162384561</v>
      </c>
      <c r="C9" s="2"/>
      <c r="D9" s="2"/>
      <c r="E9" s="2"/>
    </row>
    <row r="10" spans="1:6" ht="18.75">
      <c r="A10" s="13" t="s">
        <v>27</v>
      </c>
      <c r="B10" s="62">
        <f>'2. Phi'!B7</f>
        <v>153.66765064491162</v>
      </c>
      <c r="C10" s="2"/>
      <c r="D10" s="2"/>
      <c r="E10" s="2"/>
    </row>
    <row r="11" spans="1:6" ht="18.75">
      <c r="A11" s="14" t="s">
        <v>28</v>
      </c>
      <c r="B11" s="62">
        <f>'2. Phi'!B8</f>
        <v>0.71605499035973796</v>
      </c>
      <c r="C11" s="2"/>
      <c r="D11" s="2"/>
      <c r="E11" s="2"/>
    </row>
    <row r="13" spans="1:6">
      <c r="A13" s="8" t="s">
        <v>0</v>
      </c>
      <c r="B13" s="8"/>
      <c r="C13" s="8" t="s">
        <v>246</v>
      </c>
      <c r="D13" s="8" t="s">
        <v>247</v>
      </c>
      <c r="E13" s="8" t="s">
        <v>248</v>
      </c>
    </row>
    <row r="14" spans="1:6" ht="18.75">
      <c r="A14" s="27" t="s">
        <v>69</v>
      </c>
      <c r="B14" s="63">
        <f>(B18*(1+B24^2+B25^2))-((B24-B24*B25)*(B19+B18))</f>
        <v>701.76202437788174</v>
      </c>
      <c r="C14" s="31" t="s">
        <v>81</v>
      </c>
      <c r="D14" s="31" t="s">
        <v>81</v>
      </c>
      <c r="E14" s="31" t="s">
        <v>81</v>
      </c>
    </row>
    <row r="15" spans="1:6" ht="18.75">
      <c r="A15" s="27" t="s">
        <v>70</v>
      </c>
      <c r="B15" s="63">
        <f>(B19*(1+B24^2+B25^2))-((B24-B24*B25)*(B20+B18))</f>
        <v>496.69768981627539</v>
      </c>
      <c r="C15" s="31" t="s">
        <v>82</v>
      </c>
      <c r="D15" s="31" t="s">
        <v>83</v>
      </c>
      <c r="E15" s="31" t="s">
        <v>83</v>
      </c>
    </row>
    <row r="16" spans="1:6" ht="18.75">
      <c r="A16" s="27" t="s">
        <v>73</v>
      </c>
      <c r="B16" s="63">
        <f>(B20*(1+B24^2+B25^2))-(((B24-B24*B25)*(B21+B19))+((B24-B24*B25)*(B22+B18)))</f>
        <v>354.15605362593919</v>
      </c>
      <c r="C16" s="4"/>
      <c r="D16" s="31" t="s">
        <v>84</v>
      </c>
      <c r="E16" s="31" t="s">
        <v>134</v>
      </c>
    </row>
    <row r="17" spans="1:5" ht="18.75">
      <c r="A17" s="27" t="s">
        <v>75</v>
      </c>
      <c r="B17" s="63">
        <f>(B21*(1+B24^2+B25^2))-(((B24-B24*B25)*(B22+B20))+((B24-B24*B25)*(B23+B19)))</f>
        <v>295.96898050307198</v>
      </c>
      <c r="C17" s="4"/>
      <c r="D17" s="4"/>
      <c r="E17" s="31" t="s">
        <v>135</v>
      </c>
    </row>
    <row r="18" spans="1:5" ht="18.75">
      <c r="A18" s="22" t="s">
        <v>23</v>
      </c>
      <c r="B18" s="63">
        <f>'2. Phi'!B13</f>
        <v>702.96013227618414</v>
      </c>
      <c r="C18" s="4"/>
      <c r="D18" s="4"/>
      <c r="E18" s="4"/>
    </row>
    <row r="19" spans="1:5" ht="18.75">
      <c r="A19" s="22" t="s">
        <v>24</v>
      </c>
      <c r="B19" s="63">
        <f>'2. Phi'!B14</f>
        <v>497.75440082378066</v>
      </c>
      <c r="C19" s="4"/>
      <c r="D19" s="4"/>
      <c r="E19" s="4"/>
    </row>
    <row r="20" spans="1:5" ht="18.75">
      <c r="A20" s="22" t="s">
        <v>25</v>
      </c>
      <c r="B20" s="63">
        <f>'2. Phi'!B15</f>
        <v>355.805149312254</v>
      </c>
      <c r="C20" s="4"/>
      <c r="D20" s="4"/>
      <c r="E20" s="4"/>
    </row>
    <row r="21" spans="1:5" ht="18.75">
      <c r="A21" s="22" t="s">
        <v>26</v>
      </c>
      <c r="B21" s="63">
        <f>'2. Phi'!B16</f>
        <v>297.07657162384561</v>
      </c>
      <c r="C21" s="4"/>
      <c r="D21" s="4"/>
      <c r="E21" s="4"/>
    </row>
    <row r="22" spans="1:5" ht="18.75">
      <c r="A22" s="22" t="s">
        <v>27</v>
      </c>
      <c r="B22" s="63">
        <f>'2. Phi'!B17</f>
        <v>153.66765064491162</v>
      </c>
      <c r="C22" s="4"/>
      <c r="D22" s="4"/>
      <c r="E22" s="4"/>
    </row>
    <row r="23" spans="1:5" ht="18.75">
      <c r="A23" s="22" t="s">
        <v>31</v>
      </c>
      <c r="B23" s="63">
        <f>'2. Phi'!B18</f>
        <v>102.06736770439281</v>
      </c>
      <c r="C23" s="4"/>
      <c r="D23" s="4"/>
      <c r="E23" s="4"/>
    </row>
    <row r="24" spans="1:5" ht="18.75">
      <c r="A24" s="60" t="s">
        <v>28</v>
      </c>
      <c r="B24" s="27">
        <f>'2. Phi'!B19</f>
        <v>1E-3</v>
      </c>
      <c r="C24" s="4"/>
      <c r="D24" s="4"/>
      <c r="E24" s="4"/>
    </row>
    <row r="25" spans="1:5" ht="18.75">
      <c r="A25" s="60" t="s">
        <v>29</v>
      </c>
      <c r="B25" s="27">
        <f>'2. Phi'!B20</f>
        <v>1E-3</v>
      </c>
      <c r="C25" s="4"/>
      <c r="D25" s="4"/>
      <c r="E25" s="4"/>
    </row>
    <row r="27" spans="1:5">
      <c r="A27" s="164" t="s">
        <v>0</v>
      </c>
      <c r="B27" s="164"/>
      <c r="C27" s="164" t="s">
        <v>245</v>
      </c>
      <c r="D27" s="164" t="s">
        <v>249</v>
      </c>
      <c r="E27" s="164" t="s">
        <v>250</v>
      </c>
    </row>
    <row r="28" spans="1:5" ht="18.75">
      <c r="A28" s="174" t="s">
        <v>69</v>
      </c>
      <c r="B28" s="175">
        <f>(B32*(1+B39^2+B40^2+B41^2))-((B39-B39*B40-B40*B41)*B33)</f>
        <v>702.46548226455866</v>
      </c>
      <c r="C28" s="176" t="s">
        <v>85</v>
      </c>
      <c r="D28" s="176" t="s">
        <v>85</v>
      </c>
      <c r="E28" s="176" t="s">
        <v>85</v>
      </c>
    </row>
    <row r="29" spans="1:5" ht="18.75">
      <c r="A29" s="174" t="s">
        <v>70</v>
      </c>
      <c r="B29" s="175">
        <f>(B32*(1+B39^2+B40^2+B41^2))-((B39-B39*B40-B40*B41)*(B34+B32))</f>
        <v>701.90559340555558</v>
      </c>
      <c r="C29" s="176" t="s">
        <v>86</v>
      </c>
      <c r="D29" s="176" t="s">
        <v>86</v>
      </c>
      <c r="E29" s="176" t="s">
        <v>86</v>
      </c>
    </row>
    <row r="30" spans="1:5" ht="18.75">
      <c r="A30" s="174" t="s">
        <v>73</v>
      </c>
      <c r="B30" s="175">
        <f>(B32*(1+B39^2+B40^2+B41^2))-((B39-B39*B40-B40*B41)*(B35+B33)+(B39-B39*B40-B40*B41)*(B36+B32))</f>
        <v>701.31408531872285</v>
      </c>
      <c r="C30" s="166"/>
      <c r="D30" s="176" t="s">
        <v>87</v>
      </c>
      <c r="E30" s="176" t="s">
        <v>87</v>
      </c>
    </row>
    <row r="31" spans="1:5" ht="18.75">
      <c r="A31" s="174" t="s">
        <v>75</v>
      </c>
      <c r="B31" s="175">
        <f>(B32*(1+B39^2+B40^2+B41^2))-((B39-B39*B40-B40*B41)*(B35+B33)+(B39-B39*B40-B40*B41)*(B36+B32))</f>
        <v>701.31408531872285</v>
      </c>
      <c r="C31" s="166"/>
      <c r="D31" s="166"/>
      <c r="E31" s="176" t="s">
        <v>88</v>
      </c>
    </row>
    <row r="32" spans="1:5" ht="18.75">
      <c r="A32" s="167" t="s">
        <v>23</v>
      </c>
      <c r="B32" s="177">
        <f>'2. Phi'!B24</f>
        <v>702.96013227618414</v>
      </c>
      <c r="C32" s="166"/>
      <c r="D32" s="166"/>
      <c r="E32" s="166"/>
    </row>
    <row r="33" spans="1:5" ht="18.75">
      <c r="A33" s="167" t="s">
        <v>24</v>
      </c>
      <c r="B33" s="177">
        <f>'2. Phi'!B25</f>
        <v>497.75440082378066</v>
      </c>
      <c r="C33" s="166"/>
      <c r="D33" s="166"/>
      <c r="E33" s="166"/>
    </row>
    <row r="34" spans="1:5" ht="18.75">
      <c r="A34" s="167" t="s">
        <v>25</v>
      </c>
      <c r="B34" s="177">
        <f>'2. Phi'!B26</f>
        <v>355.805149312254</v>
      </c>
      <c r="C34" s="166"/>
      <c r="D34" s="166"/>
      <c r="E34" s="166"/>
    </row>
    <row r="35" spans="1:5" ht="18.75">
      <c r="A35" s="167" t="s">
        <v>26</v>
      </c>
      <c r="B35" s="177">
        <f>'2. Phi'!B27</f>
        <v>297.07657162384561</v>
      </c>
      <c r="C35" s="166"/>
      <c r="D35" s="166"/>
      <c r="E35" s="166"/>
    </row>
    <row r="36" spans="1:5" ht="18.75">
      <c r="A36" s="167" t="s">
        <v>27</v>
      </c>
      <c r="B36" s="177">
        <f>'2. Phi'!B28</f>
        <v>153.66765064491162</v>
      </c>
      <c r="C36" s="166"/>
      <c r="D36" s="166"/>
      <c r="E36" s="166"/>
    </row>
    <row r="37" spans="1:5" ht="18.75">
      <c r="A37" s="167" t="s">
        <v>31</v>
      </c>
      <c r="B37" s="177">
        <f>'2. Phi'!B29</f>
        <v>102.06736770439281</v>
      </c>
      <c r="C37" s="166"/>
      <c r="D37" s="166"/>
      <c r="E37" s="166"/>
    </row>
    <row r="38" spans="1:5" ht="18.75">
      <c r="A38" s="167" t="s">
        <v>32</v>
      </c>
      <c r="B38" s="177">
        <f>'2. Phi'!B30</f>
        <v>101.92155655768306</v>
      </c>
      <c r="C38" s="166"/>
      <c r="D38" s="166"/>
      <c r="E38" s="166"/>
    </row>
    <row r="39" spans="1:5" ht="18.75">
      <c r="A39" s="170" t="s">
        <v>28</v>
      </c>
      <c r="B39" s="174">
        <f>'2. Phi'!B31</f>
        <v>1E-3</v>
      </c>
      <c r="C39" s="166"/>
      <c r="D39" s="166"/>
      <c r="E39" s="166"/>
    </row>
    <row r="40" spans="1:5" ht="18.75">
      <c r="A40" s="170" t="s">
        <v>29</v>
      </c>
      <c r="B40" s="174">
        <f>'2. Phi'!B32</f>
        <v>1E-3</v>
      </c>
      <c r="C40" s="166"/>
      <c r="D40" s="166"/>
      <c r="E40" s="166"/>
    </row>
    <row r="41" spans="1:5" ht="18.75">
      <c r="A41" s="170" t="s">
        <v>30</v>
      </c>
      <c r="B41" s="174">
        <f>'2. Phi'!B33</f>
        <v>1E-3</v>
      </c>
      <c r="C41" s="166"/>
      <c r="D41" s="166"/>
      <c r="E41" s="166"/>
    </row>
  </sheetData>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4"/>
  <sheetViews>
    <sheetView zoomScaleNormal="100" workbookViewId="0">
      <selection activeCell="C6" sqref="C6"/>
    </sheetView>
  </sheetViews>
  <sheetFormatPr defaultRowHeight="15"/>
  <cols>
    <col min="1" max="1" width="8.85546875" style="15"/>
    <col min="11" max="11" width="5.28515625" customWidth="1"/>
  </cols>
  <sheetData>
    <row r="1" spans="1:18">
      <c r="A1" s="6" t="s">
        <v>0</v>
      </c>
      <c r="B1" s="6"/>
      <c r="C1" s="6" t="s">
        <v>1</v>
      </c>
      <c r="D1" s="6" t="s">
        <v>11</v>
      </c>
      <c r="E1" s="7"/>
      <c r="F1" s="2"/>
      <c r="G1" s="2"/>
      <c r="H1" s="2"/>
      <c r="I1" s="2"/>
      <c r="J1" s="2"/>
      <c r="L1" s="161" t="s">
        <v>39</v>
      </c>
      <c r="M1" s="162"/>
      <c r="N1" s="162"/>
      <c r="O1" s="162"/>
      <c r="P1" s="162"/>
      <c r="Q1" s="162"/>
      <c r="R1" s="162"/>
    </row>
    <row r="2" spans="1:18" ht="18">
      <c r="A2" s="20" t="s">
        <v>69</v>
      </c>
      <c r="B2" s="2">
        <f>'3. Covar'!B2</f>
        <v>849.8987203330978</v>
      </c>
      <c r="C2" s="2"/>
      <c r="D2" s="2"/>
      <c r="E2" s="2"/>
      <c r="F2" s="2"/>
      <c r="G2" s="2"/>
      <c r="H2" s="2"/>
      <c r="I2" s="2"/>
      <c r="J2" s="2"/>
      <c r="L2" s="181" t="s">
        <v>252</v>
      </c>
      <c r="M2" s="162"/>
      <c r="N2" s="162"/>
      <c r="O2" s="162"/>
      <c r="P2" s="162"/>
      <c r="Q2" s="162"/>
      <c r="R2" s="162"/>
    </row>
    <row r="3" spans="1:18" ht="18">
      <c r="A3" s="20" t="s">
        <v>70</v>
      </c>
      <c r="B3" s="2">
        <f>'3. Covar'!B3</f>
        <v>-5.1637847981767209</v>
      </c>
      <c r="C3" s="2"/>
      <c r="D3" s="2"/>
      <c r="E3" s="2"/>
      <c r="F3" s="2"/>
      <c r="G3" s="2"/>
      <c r="H3" s="2"/>
      <c r="I3" s="2"/>
      <c r="J3" s="2"/>
      <c r="L3" s="162" t="s">
        <v>40</v>
      </c>
      <c r="M3" s="162"/>
      <c r="N3" s="162"/>
      <c r="O3" s="162"/>
      <c r="P3" s="162"/>
      <c r="Q3" s="162"/>
      <c r="R3" s="162"/>
    </row>
    <row r="4" spans="1:18" ht="18.75">
      <c r="A4" s="20" t="s">
        <v>71</v>
      </c>
      <c r="B4" s="2">
        <v>849.66149681874424</v>
      </c>
      <c r="C4" s="3">
        <f>B4*(1+B5^2)-B2</f>
        <v>-0.20275598252919735</v>
      </c>
      <c r="D4" s="3" t="s">
        <v>2</v>
      </c>
      <c r="E4" s="2"/>
      <c r="F4" s="32" t="s">
        <v>89</v>
      </c>
      <c r="G4" s="2"/>
      <c r="H4" s="2"/>
      <c r="I4" s="2"/>
      <c r="J4" s="2"/>
      <c r="L4" s="162" t="s">
        <v>41</v>
      </c>
      <c r="M4" s="162"/>
      <c r="N4" s="162"/>
      <c r="O4" s="162"/>
      <c r="P4" s="162"/>
      <c r="Q4" s="162"/>
      <c r="R4" s="162"/>
    </row>
    <row r="5" spans="1:18" ht="18.75">
      <c r="A5" s="20" t="s">
        <v>72</v>
      </c>
      <c r="B5" s="2">
        <v>6.3691594800161068E-3</v>
      </c>
      <c r="C5" s="3">
        <f>B5*B4+B3</f>
        <v>0.24784477909105895</v>
      </c>
      <c r="D5" s="3" t="s">
        <v>3</v>
      </c>
      <c r="E5" s="2"/>
      <c r="F5" s="32" t="s">
        <v>90</v>
      </c>
      <c r="G5" s="2"/>
      <c r="H5" s="2"/>
      <c r="I5" s="2"/>
      <c r="J5" s="2"/>
      <c r="L5" s="162" t="s">
        <v>42</v>
      </c>
      <c r="M5" s="162"/>
      <c r="N5" s="162"/>
      <c r="O5" s="162"/>
      <c r="P5" s="162"/>
      <c r="Q5" s="162"/>
      <c r="R5" s="162"/>
    </row>
    <row r="6" spans="1:18">
      <c r="A6" s="26" t="s">
        <v>68</v>
      </c>
      <c r="B6" s="23"/>
      <c r="C6" s="19">
        <f>SUM(C4:C5)</f>
        <v>4.5088796561861599E-2</v>
      </c>
      <c r="L6" s="162" t="s">
        <v>38</v>
      </c>
      <c r="M6" s="162"/>
      <c r="N6" s="162"/>
      <c r="O6" s="162"/>
      <c r="P6" s="162"/>
      <c r="Q6" s="162"/>
      <c r="R6" s="162"/>
    </row>
    <row r="7" spans="1:18">
      <c r="A7" s="8" t="s">
        <v>0</v>
      </c>
      <c r="B7" s="8"/>
      <c r="C7" s="8" t="s">
        <v>1</v>
      </c>
      <c r="D7" s="8" t="s">
        <v>12</v>
      </c>
      <c r="E7" s="9"/>
      <c r="F7" s="4"/>
      <c r="G7" s="4"/>
      <c r="H7" s="4"/>
      <c r="I7" s="4"/>
      <c r="J7" s="4"/>
      <c r="K7" s="16"/>
    </row>
    <row r="8" spans="1:18" ht="18">
      <c r="A8" s="27" t="s">
        <v>69</v>
      </c>
      <c r="B8" s="4">
        <f>'3. Covar'!B14</f>
        <v>701.76202437788174</v>
      </c>
      <c r="C8" s="4"/>
      <c r="D8" s="4"/>
      <c r="E8" s="4"/>
      <c r="F8" s="4"/>
      <c r="G8" s="4"/>
      <c r="H8" s="4"/>
      <c r="I8" s="4"/>
      <c r="J8" s="4"/>
      <c r="K8" s="16"/>
    </row>
    <row r="9" spans="1:18" ht="18">
      <c r="A9" s="27" t="s">
        <v>70</v>
      </c>
      <c r="B9" s="4">
        <f>'3. Covar'!B15</f>
        <v>496.69768981627539</v>
      </c>
      <c r="C9" s="4"/>
      <c r="D9" s="4"/>
      <c r="E9" s="4"/>
      <c r="F9" s="4"/>
      <c r="G9" s="4"/>
      <c r="H9" s="4"/>
      <c r="I9" s="4"/>
      <c r="J9" s="4"/>
      <c r="K9" s="16"/>
    </row>
    <row r="10" spans="1:18" ht="18">
      <c r="A10" s="27" t="s">
        <v>73</v>
      </c>
      <c r="B10" s="4">
        <f>'3. Covar'!B16</f>
        <v>354.15605362593919</v>
      </c>
      <c r="C10" s="4"/>
      <c r="D10" s="4"/>
      <c r="E10" s="4"/>
      <c r="F10" s="4"/>
      <c r="G10" s="4"/>
      <c r="H10" s="4"/>
      <c r="I10" s="4"/>
      <c r="J10" s="4"/>
      <c r="K10" s="16"/>
    </row>
    <row r="11" spans="1:18" ht="18.75">
      <c r="A11" s="27" t="s">
        <v>71</v>
      </c>
      <c r="B11" s="4">
        <v>1E-3</v>
      </c>
      <c r="C11" s="5">
        <f>B11*(1+B12^2+B13^2)-B8</f>
        <v>-701.76102437588179</v>
      </c>
      <c r="D11" s="5" t="s">
        <v>4</v>
      </c>
      <c r="E11" s="4"/>
      <c r="F11" s="4"/>
      <c r="G11" s="33" t="s">
        <v>91</v>
      </c>
      <c r="H11" s="4"/>
      <c r="I11" s="4"/>
      <c r="J11" s="4"/>
      <c r="K11" s="16"/>
    </row>
    <row r="12" spans="1:18" ht="18.75">
      <c r="A12" s="27" t="s">
        <v>72</v>
      </c>
      <c r="B12" s="4">
        <v>1E-3</v>
      </c>
      <c r="C12" s="5">
        <f>B12-B12*B13+B9/B11</f>
        <v>496697.69081527536</v>
      </c>
      <c r="D12" s="5" t="s">
        <v>5</v>
      </c>
      <c r="E12" s="4"/>
      <c r="F12" s="4"/>
      <c r="G12" s="33" t="s">
        <v>92</v>
      </c>
      <c r="H12" s="4"/>
      <c r="I12" s="4"/>
      <c r="J12" s="4"/>
      <c r="K12" s="16"/>
    </row>
    <row r="13" spans="1:18" ht="18.75">
      <c r="A13" s="27" t="s">
        <v>74</v>
      </c>
      <c r="B13" s="4">
        <v>1E-3</v>
      </c>
      <c r="C13" s="5">
        <f>B13*B11+B10</f>
        <v>354.15605462593919</v>
      </c>
      <c r="D13" s="5" t="s">
        <v>6</v>
      </c>
      <c r="E13" s="4"/>
      <c r="F13" s="4"/>
      <c r="G13" s="33" t="s">
        <v>93</v>
      </c>
      <c r="H13" s="4"/>
      <c r="I13" s="4"/>
      <c r="J13" s="4"/>
      <c r="K13" s="16"/>
    </row>
    <row r="14" spans="1:18">
      <c r="A14" s="28" t="s">
        <v>68</v>
      </c>
      <c r="B14" s="24"/>
      <c r="C14" s="25">
        <f>SUM(C11:C13)</f>
        <v>496350.08584552543</v>
      </c>
      <c r="K14" s="16"/>
    </row>
    <row r="15" spans="1:18">
      <c r="A15" s="164" t="s">
        <v>0</v>
      </c>
      <c r="B15" s="164"/>
      <c r="C15" s="164" t="s">
        <v>1</v>
      </c>
      <c r="D15" s="164" t="s">
        <v>13</v>
      </c>
      <c r="E15" s="178"/>
      <c r="F15" s="166"/>
      <c r="G15" s="166"/>
      <c r="H15" s="166"/>
      <c r="I15" s="166"/>
      <c r="J15" s="166"/>
      <c r="K15" s="16"/>
      <c r="L15" s="16"/>
    </row>
    <row r="16" spans="1:18" ht="18">
      <c r="A16" s="174" t="s">
        <v>69</v>
      </c>
      <c r="B16" s="166">
        <f>'3. Covar'!B28</f>
        <v>702.46548226455866</v>
      </c>
      <c r="C16" s="166"/>
      <c r="D16" s="166"/>
      <c r="E16" s="166"/>
      <c r="F16" s="166"/>
      <c r="G16" s="166"/>
      <c r="H16" s="166"/>
      <c r="I16" s="166"/>
      <c r="J16" s="166"/>
      <c r="K16" s="16"/>
      <c r="L16" s="16"/>
    </row>
    <row r="17" spans="1:12" ht="18">
      <c r="A17" s="174" t="s">
        <v>70</v>
      </c>
      <c r="B17" s="166">
        <f>'3. Covar'!B29</f>
        <v>701.90559340555558</v>
      </c>
      <c r="C17" s="166"/>
      <c r="D17" s="166"/>
      <c r="E17" s="166"/>
      <c r="F17" s="166"/>
      <c r="G17" s="166"/>
      <c r="H17" s="166"/>
      <c r="I17" s="166"/>
      <c r="J17" s="166"/>
      <c r="K17" s="16"/>
      <c r="L17" s="16"/>
    </row>
    <row r="18" spans="1:12" ht="18">
      <c r="A18" s="174" t="s">
        <v>73</v>
      </c>
      <c r="B18" s="166">
        <f>'3. Covar'!B30</f>
        <v>701.31408531872285</v>
      </c>
      <c r="C18" s="166"/>
      <c r="D18" s="166"/>
      <c r="E18" s="166"/>
      <c r="F18" s="166"/>
      <c r="G18" s="166"/>
      <c r="H18" s="166"/>
      <c r="I18" s="166"/>
      <c r="J18" s="166"/>
      <c r="K18" s="16"/>
      <c r="L18" s="16"/>
    </row>
    <row r="19" spans="1:12" ht="18">
      <c r="A19" s="174" t="s">
        <v>75</v>
      </c>
      <c r="B19" s="166">
        <f>'3. Covar'!B31</f>
        <v>701.31408531872285</v>
      </c>
      <c r="C19" s="166"/>
      <c r="D19" s="166"/>
      <c r="E19" s="166"/>
      <c r="F19" s="166"/>
      <c r="G19" s="166"/>
      <c r="H19" s="166"/>
      <c r="I19" s="166"/>
      <c r="J19" s="166"/>
      <c r="K19" s="16"/>
      <c r="L19" s="16"/>
    </row>
    <row r="20" spans="1:12" ht="18.75">
      <c r="A20" s="174" t="s">
        <v>71</v>
      </c>
      <c r="B20" s="166">
        <v>1E-3</v>
      </c>
      <c r="C20" s="169">
        <f>B20*(1+B21^2+B22^2+B23^2)-B16</f>
        <v>-702.46448226155871</v>
      </c>
      <c r="D20" s="169" t="s">
        <v>7</v>
      </c>
      <c r="E20" s="166"/>
      <c r="F20" s="166"/>
      <c r="G20" s="166"/>
      <c r="H20" s="179" t="s">
        <v>94</v>
      </c>
      <c r="I20" s="166"/>
      <c r="J20" s="166"/>
      <c r="K20" s="16"/>
      <c r="L20" s="16"/>
    </row>
    <row r="21" spans="1:12" ht="18.75">
      <c r="A21" s="174" t="s">
        <v>72</v>
      </c>
      <c r="B21" s="166">
        <v>1E-3</v>
      </c>
      <c r="C21" s="169">
        <f>B21-B21*B22-B22*B22+B17/B20</f>
        <v>701905.59440355562</v>
      </c>
      <c r="D21" s="169" t="s">
        <v>8</v>
      </c>
      <c r="E21" s="166"/>
      <c r="F21" s="166"/>
      <c r="G21" s="166"/>
      <c r="H21" s="179" t="s">
        <v>95</v>
      </c>
      <c r="I21" s="166"/>
      <c r="J21" s="166"/>
      <c r="K21" s="16"/>
      <c r="L21" s="16"/>
    </row>
    <row r="22" spans="1:12" ht="18.75">
      <c r="A22" s="174" t="s">
        <v>74</v>
      </c>
      <c r="B22" s="166">
        <v>1E-3</v>
      </c>
      <c r="C22" s="169">
        <f>B22-B21*B23+B18/B20</f>
        <v>701314.08631772292</v>
      </c>
      <c r="D22" s="169" t="s">
        <v>9</v>
      </c>
      <c r="E22" s="166"/>
      <c r="F22" s="166"/>
      <c r="G22" s="166"/>
      <c r="H22" s="179" t="s">
        <v>97</v>
      </c>
      <c r="I22" s="166"/>
      <c r="J22" s="166"/>
      <c r="K22" s="16"/>
      <c r="L22" s="16"/>
    </row>
    <row r="23" spans="1:12" ht="18.75">
      <c r="A23" s="174" t="s">
        <v>76</v>
      </c>
      <c r="B23" s="166">
        <v>1E-3</v>
      </c>
      <c r="C23" s="169">
        <f>B23*B20+B19</f>
        <v>701.31408631872284</v>
      </c>
      <c r="D23" s="169" t="s">
        <v>10</v>
      </c>
      <c r="E23" s="166"/>
      <c r="F23" s="166"/>
      <c r="G23" s="166"/>
      <c r="H23" s="179" t="s">
        <v>96</v>
      </c>
      <c r="I23" s="166"/>
      <c r="J23" s="166"/>
      <c r="K23" s="16"/>
      <c r="L23" s="16"/>
    </row>
    <row r="24" spans="1:12">
      <c r="A24" s="180" t="s">
        <v>68</v>
      </c>
      <c r="B24" s="172"/>
      <c r="C24" s="173">
        <f>SUM(C20:C23)</f>
        <v>1403218.5303253357</v>
      </c>
      <c r="L24" s="16"/>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222"/>
  <sheetViews>
    <sheetView zoomScale="70" zoomScaleNormal="70" workbookViewId="0">
      <selection activeCell="Z39" sqref="Z39"/>
    </sheetView>
  </sheetViews>
  <sheetFormatPr defaultRowHeight="15"/>
  <cols>
    <col min="1" max="1" width="21.85546875" customWidth="1"/>
    <col min="3" max="3" width="15.85546875" customWidth="1"/>
    <col min="4" max="4" width="5.5703125" customWidth="1"/>
    <col min="5" max="5" width="21.28515625" customWidth="1"/>
    <col min="6" max="6" width="16.7109375" customWidth="1"/>
    <col min="7" max="7" width="17.28515625" customWidth="1"/>
    <col min="8" max="8" width="12.140625" customWidth="1"/>
    <col min="9" max="9" width="4.28515625" customWidth="1"/>
    <col min="10" max="10" width="6.7109375" customWidth="1"/>
    <col min="11" max="12" width="7.28515625" style="44" customWidth="1"/>
    <col min="13" max="15" width="7.28515625" customWidth="1"/>
    <col min="16" max="16" width="7.28515625" style="44" customWidth="1"/>
  </cols>
  <sheetData>
    <row r="1" spans="1:16" ht="18">
      <c r="A1" s="78" t="s">
        <v>341</v>
      </c>
      <c r="B1" s="79" t="s">
        <v>139</v>
      </c>
      <c r="C1" s="80" t="s">
        <v>140</v>
      </c>
      <c r="D1" s="81"/>
      <c r="E1" s="242" t="s">
        <v>342</v>
      </c>
      <c r="F1" s="243" t="s">
        <v>139</v>
      </c>
      <c r="G1" s="244" t="s">
        <v>140</v>
      </c>
      <c r="I1" s="112"/>
      <c r="J1" s="121" t="s">
        <v>190</v>
      </c>
      <c r="K1" s="56" t="s">
        <v>132</v>
      </c>
      <c r="L1" s="56" t="s">
        <v>191</v>
      </c>
      <c r="M1" s="113" t="s">
        <v>186</v>
      </c>
      <c r="N1" s="113" t="s">
        <v>187</v>
      </c>
      <c r="O1" s="113" t="s">
        <v>192</v>
      </c>
      <c r="P1" s="114" t="s">
        <v>189</v>
      </c>
    </row>
    <row r="2" spans="1:16">
      <c r="A2" s="288" t="s">
        <v>340</v>
      </c>
      <c r="B2" s="289">
        <f>COUNT(K3:K52)</f>
        <v>50</v>
      </c>
      <c r="C2" s="290"/>
      <c r="D2" s="85"/>
      <c r="E2" s="245" t="s">
        <v>208</v>
      </c>
      <c r="F2" s="246">
        <f ca="1">AVERAGE(O6:O52)</f>
        <v>1.6804054036266198</v>
      </c>
      <c r="G2" s="247"/>
      <c r="I2" s="100"/>
      <c r="J2" s="115">
        <v>0</v>
      </c>
      <c r="K2" s="52"/>
      <c r="L2" s="52"/>
      <c r="M2" s="119"/>
      <c r="N2" s="119"/>
      <c r="O2" s="119"/>
      <c r="P2" s="120"/>
    </row>
    <row r="3" spans="1:16">
      <c r="A3" s="82" t="s">
        <v>343</v>
      </c>
      <c r="B3" s="83">
        <f>AVERAGE(K3:K52)</f>
        <v>1.7795427167309177</v>
      </c>
      <c r="C3" s="84"/>
      <c r="D3" s="85"/>
      <c r="E3" s="245" t="s">
        <v>209</v>
      </c>
      <c r="F3" s="246">
        <f ca="1">STDEV(O6:O52)</f>
        <v>2.6916108962085414</v>
      </c>
      <c r="G3" s="247"/>
      <c r="I3" s="100"/>
      <c r="J3" s="115">
        <v>1</v>
      </c>
      <c r="K3" s="37">
        <f>'1. Autocorr'!B3</f>
        <v>1.2999999999999998</v>
      </c>
      <c r="L3" s="37">
        <f>K3-AVERAGE($K$3:$K$52)</f>
        <v>-0.47954271673091786</v>
      </c>
      <c r="M3" s="37">
        <v>0</v>
      </c>
      <c r="N3" s="116">
        <v>0</v>
      </c>
      <c r="O3" s="37">
        <v>0</v>
      </c>
      <c r="P3" s="117">
        <v>0</v>
      </c>
    </row>
    <row r="4" spans="1:16">
      <c r="A4" s="82" t="s">
        <v>344</v>
      </c>
      <c r="B4" s="83">
        <f>_xlfn.STDEV.S(K3:K52)</f>
        <v>3.7876279052321848</v>
      </c>
      <c r="C4" s="84"/>
      <c r="D4" s="85"/>
      <c r="E4" s="248" t="s">
        <v>210</v>
      </c>
      <c r="F4" s="249">
        <f ca="1">RSQ(K6:K52,O6:O52)</f>
        <v>0.51546171638374927</v>
      </c>
      <c r="G4" s="250"/>
      <c r="I4" s="100"/>
      <c r="J4" s="115">
        <v>2</v>
      </c>
      <c r="K4" s="37">
        <f>'1. Autocorr'!B4</f>
        <v>8.6</v>
      </c>
      <c r="L4" s="37">
        <f t="shared" ref="L4:L52" si="0">K4-AVERAGE($K$3:$K$52)</f>
        <v>6.8204572832690822</v>
      </c>
      <c r="M4" s="37">
        <f ca="1">IF($F$6 &lt;= 1,SUMPRODUCT(OFFSET($F$10,-1,0):OFFSET($F$10,-$F$6,0),OFFSET(K4,-$F$6,0):OFFSET(K4,-1,0)),0)</f>
        <v>0.93087148746765924</v>
      </c>
      <c r="N4" s="116">
        <f ca="1">IF($G$6 &lt;= 1,SUMPRODUCT(OFFSET($G$10,-1,0):OFFSET($G$10,-$G$6,0),OFFSET(P4,-$G$6,0):OFFSET(P4,-1,0)),0)</f>
        <v>0</v>
      </c>
      <c r="O4" s="37">
        <f ca="1">IF(F6=1,$B$6+M4-N4,0)</f>
        <v>1.4361637613250777</v>
      </c>
      <c r="P4" s="117">
        <f ca="1">IF(F6=1,K4-O4,0)</f>
        <v>7.1638362386749215</v>
      </c>
    </row>
    <row r="5" spans="1:16">
      <c r="A5" s="86" t="s">
        <v>141</v>
      </c>
      <c r="B5" s="83">
        <f>1.96*B4/SQRT(B2)</f>
        <v>1.0498768915492216</v>
      </c>
      <c r="C5" s="87" t="str">
        <f>IF(B3&gt;B5,"Use Delta from B6", "Delta from B6 not needed")</f>
        <v>Use Delta from B6</v>
      </c>
      <c r="D5" s="89"/>
      <c r="I5" s="100"/>
      <c r="J5" s="115">
        <v>3</v>
      </c>
      <c r="K5" s="37">
        <f>'1. Autocorr'!B5</f>
        <v>12.132</v>
      </c>
      <c r="L5" s="37">
        <f t="shared" si="0"/>
        <v>10.352457283269082</v>
      </c>
      <c r="M5" s="37">
        <f ca="1">IF($F$6 &lt;= 2,SUMPRODUCT(OFFSET($F$10,-1,0):OFFSET($F$10,-$F$6,0),OFFSET(K5,-$F$6,0):OFFSET(K5,-1,0)),0)</f>
        <v>6.1580729170937465</v>
      </c>
      <c r="N5" s="116">
        <f ca="1">IF($G$6 &lt;= 2,SUMPRODUCT(OFFSET($G$10,-1,0):OFFSET($G$10,-$G$6,0),OFFSET(P5,-$G$6,0):OFFSET(P5,-1,0)),0)</f>
        <v>4.5627615492839307E-2</v>
      </c>
      <c r="O5" s="37">
        <f ca="1">IF(F6&lt;=2,$B$6+M5-N5,0)</f>
        <v>6.6177375754583254</v>
      </c>
      <c r="P5" s="117">
        <f ca="1">IF(F6&lt;=2,K5-O5,0)</f>
        <v>5.5142624245416743</v>
      </c>
    </row>
    <row r="6" spans="1:16">
      <c r="A6" s="291" t="s">
        <v>345</v>
      </c>
      <c r="B6" s="83">
        <f ca="1">B3*(1-(SUM(OFFSET(F10,-1,0,):OFFSET(F10,-F6,0))))</f>
        <v>0.50529227385741848</v>
      </c>
      <c r="C6" s="88"/>
      <c r="D6" s="90"/>
      <c r="E6" s="208" t="s">
        <v>143</v>
      </c>
      <c r="F6" s="209">
        <v>1</v>
      </c>
      <c r="G6" s="209">
        <v>1</v>
      </c>
      <c r="H6" s="210" t="s">
        <v>144</v>
      </c>
      <c r="I6" s="100"/>
      <c r="J6" s="115">
        <v>4</v>
      </c>
      <c r="K6" s="37">
        <f>'1. Autocorr'!B6</f>
        <v>10.9696</v>
      </c>
      <c r="L6" s="37">
        <f t="shared" si="0"/>
        <v>9.1900572832690823</v>
      </c>
      <c r="M6" s="37">
        <f ca="1">IF($F$6 &lt;= 3,SUMPRODUCT(OFFSET($F$10,-1,0):OFFSET($F$10,-$F$6,0),OFFSET(K6,-$F$6,0):OFFSET(K6,-1,0)),0)</f>
        <v>8.6871791430443412</v>
      </c>
      <c r="N6" s="116">
        <f ca="1">IF($G$6 &lt;= 3,SUMPRODUCT(OFFSET($G$10,-1,0):OFFSET($G$10,-$G$6,0),OFFSET(P6,-$G$6,0):OFFSET(P6,-1,0)),0)</f>
        <v>3.5121216796566206E-2</v>
      </c>
      <c r="O6" s="37">
        <f ca="1">IF(AND($B$3&gt;$B$5,$F$6&lt;=3),$B$6+M6-N6,M6-N6)</f>
        <v>9.1573502001051938</v>
      </c>
      <c r="P6" s="117">
        <f t="shared" ref="P6:P51" ca="1" si="1">K6-O6</f>
        <v>1.8122497998948059</v>
      </c>
    </row>
    <row r="7" spans="1:16" ht="18">
      <c r="A7" s="82" t="s">
        <v>142</v>
      </c>
      <c r="B7" s="302">
        <f>1.96*(_xlfn.STDEV.S(K3:K52)/SQRT(COUNT(K3:K52)))</f>
        <v>1.0498768915492218</v>
      </c>
      <c r="C7" s="303" t="str">
        <f>IF(B3&gt;B7,"Non-zero mean","Zero mean")</f>
        <v>Non-zero mean</v>
      </c>
      <c r="D7" s="94"/>
      <c r="E7" s="201" t="s">
        <v>145</v>
      </c>
      <c r="F7" s="202">
        <f>'2. Phi'!B10</f>
        <v>1E-3</v>
      </c>
      <c r="G7" s="203">
        <v>0</v>
      </c>
      <c r="H7" s="204" t="s">
        <v>146</v>
      </c>
      <c r="I7" s="100"/>
      <c r="J7" s="115">
        <v>5</v>
      </c>
      <c r="K7" s="37">
        <f>'1. Autocorr'!B7</f>
        <v>7.8545599999999984</v>
      </c>
      <c r="L7" s="37">
        <f t="shared" si="0"/>
        <v>6.075017283269081</v>
      </c>
      <c r="M7" s="37">
        <f ca="1">IF($F$6 &lt;= 3,SUMPRODUCT(OFFSET($F$10,-1,0):OFFSET($F$10,-$F$6,0),OFFSET(K7,-$F$6,0):OFFSET(K7,-1,0)),0)</f>
        <v>7.8548368222501814</v>
      </c>
      <c r="N7" s="116">
        <f ca="1">IF($G$6 &lt;= 3,SUMPRODUCT(OFFSET($G$10,-1,0):OFFSET($G$10,-$G$6,0),OFFSET(P7,-$G$6,0):OFFSET(P7,-1,0)),0)</f>
        <v>1.1542507993157296E-2</v>
      </c>
      <c r="O7" s="37">
        <f t="shared" ref="O7:O52" ca="1" si="2">IF(AND($B$3&gt;$B$5,$F$6&lt;=3),$B$6+M7-N7,M7-N7)</f>
        <v>8.3485865881144434</v>
      </c>
      <c r="P7" s="117">
        <f t="shared" ca="1" si="1"/>
        <v>-0.494026588114445</v>
      </c>
    </row>
    <row r="8" spans="1:16" ht="18">
      <c r="A8" s="91" t="s">
        <v>346</v>
      </c>
      <c r="B8" s="92">
        <f ca="1">IF($F$6=1,B6/(1-$F$9),IF($F$6=2,B6/(1-$F$9-$F$8),IF($F$6=3,B6/(1-$F$9-$F$8-$F$7),0)))</f>
        <v>1.7795427167309175</v>
      </c>
      <c r="C8" s="93"/>
      <c r="D8" s="97"/>
      <c r="E8" s="201" t="s">
        <v>147</v>
      </c>
      <c r="F8" s="202">
        <f>'2. Phi'!B9</f>
        <v>1E-3</v>
      </c>
      <c r="G8" s="203">
        <v>0</v>
      </c>
      <c r="H8" s="204" t="s">
        <v>148</v>
      </c>
      <c r="I8" s="100"/>
      <c r="J8" s="115">
        <v>6</v>
      </c>
      <c r="K8" s="37">
        <f>'1. Autocorr'!B8</f>
        <v>6.9285119999999987</v>
      </c>
      <c r="L8" s="37">
        <f t="shared" si="0"/>
        <v>5.1489692832690812</v>
      </c>
      <c r="M8" s="37">
        <f ca="1">IF($F$6 &lt;= 3,SUMPRODUCT(OFFSET($F$10,-1,0):OFFSET($F$10,-$F$6,0),OFFSET(K8,-$F$6,0):OFFSET(K8,-1,0)),0)</f>
        <v>5.6242968850799819</v>
      </c>
      <c r="N8" s="116">
        <f ca="1">IF($G$6 &lt;= 3,SUMPRODUCT(OFFSET($G$10,-1,0):OFFSET($G$10,-$G$6,0),OFFSET(P8,-$G$6,0):OFFSET(P8,-1,0)),0)</f>
        <v>-3.1465341270691298E-3</v>
      </c>
      <c r="O8" s="37">
        <f t="shared" ca="1" si="2"/>
        <v>6.1327356930644692</v>
      </c>
      <c r="P8" s="117">
        <f t="shared" ca="1" si="1"/>
        <v>0.79577630693552948</v>
      </c>
    </row>
    <row r="9" spans="1:16" ht="18">
      <c r="A9" s="95"/>
      <c r="B9" s="98"/>
      <c r="C9" s="99"/>
      <c r="D9" s="97"/>
      <c r="E9" s="205" t="s">
        <v>149</v>
      </c>
      <c r="F9" s="206">
        <f>'2. Phi'!B8</f>
        <v>0.71605499035973796</v>
      </c>
      <c r="G9" s="298">
        <f>'4. Sigma &amp; Theta'!B5</f>
        <v>6.3691594800161068E-3</v>
      </c>
      <c r="H9" s="207" t="s">
        <v>150</v>
      </c>
      <c r="I9" s="103"/>
      <c r="J9" s="115">
        <v>7</v>
      </c>
      <c r="K9" s="37">
        <f>'1. Autocorr'!B9</f>
        <v>3.8660799999999984</v>
      </c>
      <c r="L9" s="37">
        <f t="shared" si="0"/>
        <v>2.0865372832690809</v>
      </c>
      <c r="M9" s="37">
        <f ca="1">IF($F$6 &lt;= 3,SUMPRODUCT(OFFSET($F$10,-1,0):OFFSET($F$10,-$F$6,0),OFFSET(K9,-$F$6,0):OFFSET(K9,-1,0)),0)</f>
        <v>4.9611955933673277</v>
      </c>
      <c r="N9" s="116">
        <f ca="1">IF($G$6 &lt;= 3,SUMPRODUCT(OFFSET($G$10,-1,0):OFFSET($G$10,-$G$6,0),OFFSET(P9,-$G$6,0):OFFSET(P9,-1,0)),0)</f>
        <v>5.0684262092906352E-3</v>
      </c>
      <c r="O9" s="37">
        <f t="shared" ca="1" si="2"/>
        <v>5.4614194410154555</v>
      </c>
      <c r="P9" s="117">
        <f t="shared" ca="1" si="1"/>
        <v>-1.5953394410154571</v>
      </c>
    </row>
    <row r="10" spans="1:16">
      <c r="A10" s="211" t="s">
        <v>151</v>
      </c>
      <c r="B10" s="212" t="s">
        <v>139</v>
      </c>
      <c r="C10" s="213" t="s">
        <v>140</v>
      </c>
      <c r="D10" s="97"/>
      <c r="E10" s="160" t="s">
        <v>206</v>
      </c>
      <c r="F10" s="101"/>
      <c r="G10" s="102"/>
      <c r="H10" s="100"/>
      <c r="I10" s="104"/>
      <c r="J10" s="115">
        <v>8</v>
      </c>
      <c r="K10" s="37">
        <f>'1. Autocorr'!B10</f>
        <v>2.9443020799999982</v>
      </c>
      <c r="L10" s="37">
        <f t="shared" si="0"/>
        <v>1.1647593632690805</v>
      </c>
      <c r="M10" s="37">
        <f ca="1">IF($F$6 &lt;= 3,SUMPRODUCT(OFFSET($F$10,-1,0):OFFSET($F$10,-$F$6,0),OFFSET(K10,-$F$6,0):OFFSET(K10,-1,0)),0)</f>
        <v>2.7683258771299748</v>
      </c>
      <c r="N10" s="116">
        <f ca="1">IF($G$6 &lt;= 3,SUMPRODUCT(OFFSET($G$10,-1,0):OFFSET($G$10,-$G$6,0),OFFSET(P10,-$G$6,0):OFFSET(P10,-1,0)),0)</f>
        <v>-1.0160971324587195E-2</v>
      </c>
      <c r="O10" s="37">
        <f t="shared" ca="1" si="2"/>
        <v>3.2837791223119805</v>
      </c>
      <c r="P10" s="117">
        <f t="shared" ca="1" si="1"/>
        <v>-0.33947704231198239</v>
      </c>
    </row>
    <row r="11" spans="1:16" ht="18">
      <c r="A11" s="214" t="s">
        <v>152</v>
      </c>
      <c r="B11" s="202">
        <f>ABS(F9)</f>
        <v>0.71605499035973796</v>
      </c>
      <c r="C11" s="215" t="str">
        <f>IF(ABS(B11)&lt;1,"OK","No")</f>
        <v>OK</v>
      </c>
      <c r="D11" s="94"/>
      <c r="E11" s="160" t="s">
        <v>213</v>
      </c>
      <c r="F11" s="101"/>
      <c r="G11" s="102"/>
      <c r="H11" s="100"/>
      <c r="I11" s="104"/>
      <c r="J11" s="115">
        <v>9</v>
      </c>
      <c r="K11" s="37">
        <f>'1. Autocorr'!B11</f>
        <v>-0.12313113600000225</v>
      </c>
      <c r="L11" s="37">
        <f t="shared" si="0"/>
        <v>-1.9026738527309199</v>
      </c>
      <c r="M11" s="37">
        <f ca="1">IF($F$6 &lt;= 3,SUMPRODUCT(OFFSET($F$10,-1,0):OFFSET($F$10,-$F$6,0),OFFSET(K11,-$F$6,0):OFFSET(K11,-1,0)),0)</f>
        <v>2.108282197510555</v>
      </c>
      <c r="N11" s="116">
        <f ca="1">IF($G$6 &lt;= 3,SUMPRODUCT(OFFSET($G$10,-1,0):OFFSET($G$10,-$G$6,0),OFFSET(P11,-$G$6,0):OFFSET(P11,-1,0)),0)</f>
        <v>-2.1621834222891917E-3</v>
      </c>
      <c r="O11" s="37">
        <f t="shared" ca="1" si="2"/>
        <v>2.6157366547902625</v>
      </c>
      <c r="P11" s="117">
        <f t="shared" ca="1" si="1"/>
        <v>-2.7388677907902648</v>
      </c>
    </row>
    <row r="12" spans="1:16" ht="18">
      <c r="A12" s="214" t="s">
        <v>153</v>
      </c>
      <c r="B12" s="202">
        <f>ABS(G9)</f>
        <v>6.3691594800161068E-3</v>
      </c>
      <c r="C12" s="215" t="str">
        <f>IF(ABS(B12)&lt;1,"OK","No")</f>
        <v>OK</v>
      </c>
      <c r="D12" s="94"/>
      <c r="E12" s="160" t="s">
        <v>377</v>
      </c>
      <c r="F12" s="101"/>
      <c r="G12" s="102"/>
      <c r="H12" s="100"/>
      <c r="I12" s="105"/>
      <c r="J12" s="115">
        <v>10</v>
      </c>
      <c r="K12" s="37">
        <f>'1. Autocorr'!B12</f>
        <v>4.9504067583999998</v>
      </c>
      <c r="L12" s="37">
        <f t="shared" si="0"/>
        <v>3.1708640416690823</v>
      </c>
      <c r="M12" s="37">
        <f ca="1">IF($F$6 &lt;= 3,SUMPRODUCT(OFFSET($F$10,-1,0):OFFSET($F$10,-$F$6,0),OFFSET(K12,-$F$6,0):OFFSET(K12,-1,0)),0)</f>
        <v>-8.8168664401465202E-2</v>
      </c>
      <c r="N12" s="116">
        <f ca="1">IF($G$6 &lt;= 3,SUMPRODUCT(OFFSET($G$10,-1,0):OFFSET($G$10,-$G$6,0),OFFSET(P12,-$G$6,0):OFFSET(P12,-1,0)),0)</f>
        <v>-1.7444285754222588E-2</v>
      </c>
      <c r="O12" s="37">
        <f t="shared" ca="1" si="2"/>
        <v>0.43456789521017586</v>
      </c>
      <c r="P12" s="117">
        <f t="shared" ca="1" si="1"/>
        <v>4.5158388631898241</v>
      </c>
    </row>
    <row r="13" spans="1:16" ht="18">
      <c r="A13" s="214" t="s">
        <v>154</v>
      </c>
      <c r="B13" s="202">
        <f>ABS(F8)</f>
        <v>1E-3</v>
      </c>
      <c r="C13" s="215" t="str">
        <f>IF(ABS(B13)&lt;1,"OK","No")</f>
        <v>OK</v>
      </c>
      <c r="D13" s="97"/>
      <c r="E13" s="200" t="s">
        <v>236</v>
      </c>
      <c r="F13" s="101"/>
      <c r="G13" s="102"/>
      <c r="H13" s="100"/>
      <c r="I13" s="104"/>
      <c r="J13" s="115">
        <v>11</v>
      </c>
      <c r="K13" s="37">
        <f>'1. Autocorr'!B13</f>
        <v>3.2800263884799983</v>
      </c>
      <c r="L13" s="37">
        <f t="shared" si="0"/>
        <v>1.5004836717490806</v>
      </c>
      <c r="M13" s="37">
        <f ca="1">IF($F$6 &lt;= 3,SUMPRODUCT(OFFSET($F$10,-1,0):OFFSET($F$10,-$F$6,0),OFFSET(K13,-$F$6,0):OFFSET(K13,-1,0)),0)</f>
        <v>3.5447634636628935</v>
      </c>
      <c r="N13" s="116">
        <f ca="1">IF($G$6 &lt;= 3,SUMPRODUCT(OFFSET($G$10,-1,0):OFFSET($G$10,-$G$6,0),OFFSET(P13,-$G$6,0):OFFSET(P13,-1,0)),0)</f>
        <v>2.8762097905710628E-2</v>
      </c>
      <c r="O13" s="37">
        <f t="shared" ca="1" si="2"/>
        <v>4.0212936396146013</v>
      </c>
      <c r="P13" s="117">
        <f t="shared" ca="1" si="1"/>
        <v>-0.74126725113460301</v>
      </c>
    </row>
    <row r="14" spans="1:16" ht="18">
      <c r="A14" s="216" t="s">
        <v>155</v>
      </c>
      <c r="B14" s="202">
        <f>F9+F8</f>
        <v>0.71705499035973796</v>
      </c>
      <c r="C14" s="217" t="str">
        <f>IF(F9+F8&lt;1,"OK","No")</f>
        <v>OK</v>
      </c>
      <c r="D14" s="94"/>
      <c r="E14" s="160" t="s">
        <v>211</v>
      </c>
      <c r="F14" s="101"/>
      <c r="G14" s="102"/>
      <c r="H14" s="103"/>
      <c r="I14" s="104"/>
      <c r="J14" s="115">
        <v>12</v>
      </c>
      <c r="K14" s="37">
        <f>'1. Autocorr'!B14</f>
        <v>-8.8043970560002904E-2</v>
      </c>
      <c r="L14" s="37">
        <f t="shared" si="0"/>
        <v>-1.8675866872909206</v>
      </c>
      <c r="M14" s="37">
        <f ca="1">IF($F$6 &lt;= 3,SUMPRODUCT(OFFSET($F$10,-1,0):OFFSET($F$10,-$F$6,0),OFFSET(K14,-$F$6,0):OFFSET(K14,-1,0)),0)</f>
        <v>2.3486792639827314</v>
      </c>
      <c r="N14" s="116">
        <f ca="1">IF($G$6 &lt;= 3,SUMPRODUCT(OFFSET($G$10,-1,0):OFFSET($G$10,-$G$6,0),OFFSET(P14,-$G$6,0):OFFSET(P14,-1,0)),0)</f>
        <v>-4.7212493397894373E-3</v>
      </c>
      <c r="O14" s="37">
        <f t="shared" ca="1" si="2"/>
        <v>2.858692787179939</v>
      </c>
      <c r="P14" s="117">
        <f t="shared" ca="1" si="1"/>
        <v>-2.9467367577399419</v>
      </c>
    </row>
    <row r="15" spans="1:16" ht="18">
      <c r="A15" s="216" t="s">
        <v>156</v>
      </c>
      <c r="B15" s="218">
        <f>F8-F9</f>
        <v>-0.71505499035973796</v>
      </c>
      <c r="C15" s="219" t="str">
        <f>IF(F8-F9&lt;1,"OK","No")</f>
        <v>OK</v>
      </c>
      <c r="D15" s="94"/>
      <c r="E15" s="100"/>
      <c r="F15" s="101"/>
      <c r="G15" s="102"/>
      <c r="H15" s="104"/>
      <c r="I15" s="104"/>
      <c r="J15" s="115">
        <v>13</v>
      </c>
      <c r="K15" s="37">
        <f>'1. Autocorr'!B15</f>
        <v>2.8647606013951963</v>
      </c>
      <c r="L15" s="37">
        <f t="shared" si="0"/>
        <v>1.0852178846642786</v>
      </c>
      <c r="M15" s="37">
        <f ca="1">IF($F$6 &lt;= 3,SUMPRODUCT(OFFSET($F$10,-1,0):OFFSET($F$10,-$F$6,0),OFFSET(K15,-$F$6,0):OFFSET(K15,-1,0)),0)</f>
        <v>-6.3044324490575926E-2</v>
      </c>
      <c r="N15" s="116">
        <f ca="1">IF($G$6 &lt;= 3,SUMPRODUCT(OFFSET($G$10,-1,0):OFFSET($G$10,-$G$6,0),OFFSET(P15,-$G$6,0):OFFSET(P15,-1,0)),0)</f>
        <v>-1.8768236355671278E-2</v>
      </c>
      <c r="O15" s="37">
        <f t="shared" ca="1" si="2"/>
        <v>0.46101618572251379</v>
      </c>
      <c r="P15" s="117">
        <f t="shared" ca="1" si="1"/>
        <v>2.4037444156726826</v>
      </c>
    </row>
    <row r="16" spans="1:16" ht="18">
      <c r="A16" s="214" t="s">
        <v>157</v>
      </c>
      <c r="B16" s="218">
        <f>ABS(G8)</f>
        <v>0</v>
      </c>
      <c r="C16" s="215" t="str">
        <f>IF(ABS(B16)&lt;1,"OK","No")</f>
        <v>OK</v>
      </c>
      <c r="D16" s="97"/>
      <c r="E16" s="259"/>
      <c r="F16" s="260" t="s">
        <v>177</v>
      </c>
      <c r="G16" s="261"/>
      <c r="H16" s="262"/>
      <c r="I16" s="104"/>
      <c r="J16" s="115">
        <v>14</v>
      </c>
      <c r="K16" s="37">
        <f>'1. Autocorr'!B16</f>
        <v>3.345895516405756</v>
      </c>
      <c r="L16" s="37">
        <f t="shared" si="0"/>
        <v>1.5663527996748383</v>
      </c>
      <c r="M16" s="37">
        <f ca="1">IF($F$6 &lt;= 3,SUMPRODUCT(OFFSET($F$10,-1,0):OFFSET($F$10,-$F$6,0),OFFSET(K16,-$F$6,0):OFFSET(K16,-1,0)),0)</f>
        <v>2.0513261248149943</v>
      </c>
      <c r="N16" s="116">
        <f ca="1">IF($G$6 &lt;= 3,SUMPRODUCT(OFFSET($G$10,-1,0):OFFSET($G$10,-$G$6,0),OFFSET(P16,-$G$6,0):OFFSET(P16,-1,0)),0)</f>
        <v>1.5309831532617444E-2</v>
      </c>
      <c r="O16" s="37">
        <f t="shared" ca="1" si="2"/>
        <v>2.5413085671397955</v>
      </c>
      <c r="P16" s="117">
        <f t="shared" ca="1" si="1"/>
        <v>0.80458694926596053</v>
      </c>
    </row>
    <row r="17" spans="1:16" ht="18">
      <c r="A17" s="216" t="s">
        <v>158</v>
      </c>
      <c r="B17" s="218">
        <f>G9+G8</f>
        <v>6.3691594800161068E-3</v>
      </c>
      <c r="C17" s="219" t="str">
        <f>IF(G9+G8&lt;1,"OK","No")</f>
        <v>OK</v>
      </c>
      <c r="D17" s="94"/>
      <c r="E17" s="263" t="s">
        <v>178</v>
      </c>
      <c r="F17" s="264"/>
      <c r="G17" s="263" t="s">
        <v>179</v>
      </c>
      <c r="H17" s="262"/>
      <c r="I17" s="104"/>
      <c r="J17" s="115">
        <v>15</v>
      </c>
      <c r="K17" s="37">
        <f>'1. Autocorr'!B17</f>
        <v>1.8383547169013719</v>
      </c>
      <c r="L17" s="37">
        <f t="shared" si="0"/>
        <v>5.8812000170454182E-2</v>
      </c>
      <c r="M17" s="37">
        <f ca="1">IF($F$6 &lt;= 3,SUMPRODUCT(OFFSET($F$10,-1,0):OFFSET($F$10,-$F$6,0),OFFSET(K17,-$F$6,0):OFFSET(K17,-1,0)),0)</f>
        <v>2.395845181744614</v>
      </c>
      <c r="N17" s="116">
        <f ca="1">IF($G$6 &lt;= 3,SUMPRODUCT(OFFSET($G$10,-1,0):OFFSET($G$10,-$G$6,0),OFFSET(P17,-$G$6,0):OFFSET(P17,-1,0)),0)</f>
        <v>5.1245425954145312E-3</v>
      </c>
      <c r="O17" s="37">
        <f t="shared" ca="1" si="2"/>
        <v>2.8960129130066177</v>
      </c>
      <c r="P17" s="117">
        <f t="shared" ca="1" si="1"/>
        <v>-1.0576581961052458</v>
      </c>
    </row>
    <row r="18" spans="1:16" ht="18">
      <c r="A18" s="216" t="s">
        <v>159</v>
      </c>
      <c r="B18" s="218">
        <f>G8-G9</f>
        <v>-6.3691594800161068E-3</v>
      </c>
      <c r="C18" s="219" t="str">
        <f>IF(G8-G9&lt;1,"OK","No")</f>
        <v>OK</v>
      </c>
      <c r="D18" s="94"/>
      <c r="E18" s="265" t="s">
        <v>180</v>
      </c>
      <c r="F18" s="266"/>
      <c r="G18" s="265" t="s">
        <v>181</v>
      </c>
      <c r="H18" s="262"/>
      <c r="I18" s="104"/>
      <c r="J18" s="115">
        <v>16</v>
      </c>
      <c r="K18" s="37">
        <f>'1. Autocorr'!B18</f>
        <v>4.535340490896175</v>
      </c>
      <c r="L18" s="37">
        <f t="shared" si="0"/>
        <v>2.7557977741652575</v>
      </c>
      <c r="M18" s="37">
        <f ca="1">IF($F$6 &lt;= 3,SUMPRODUCT(OFFSET($F$10,-1,0):OFFSET($F$10,-$F$6,0),OFFSET(K18,-$F$6,0):OFFSET(K18,-1,0)),0)</f>
        <v>1.3163630690885906</v>
      </c>
      <c r="N18" s="116">
        <f ca="1">IF($G$6 &lt;= 3,SUMPRODUCT(OFFSET($G$10,-1,0):OFFSET($G$10,-$G$6,0),OFFSET(P18,-$G$6,0):OFFSET(P18,-1,0)),0)</f>
        <v>-6.7363937263404611E-3</v>
      </c>
      <c r="O18" s="37">
        <f t="shared" ca="1" si="2"/>
        <v>1.8283917366723497</v>
      </c>
      <c r="P18" s="117">
        <f t="shared" ca="1" si="1"/>
        <v>2.7069487542238253</v>
      </c>
    </row>
    <row r="19" spans="1:16" ht="18">
      <c r="A19" s="214" t="s">
        <v>160</v>
      </c>
      <c r="B19" s="218">
        <f>ABS(F7)</f>
        <v>1E-3</v>
      </c>
      <c r="C19" s="215" t="str">
        <f>IF(ABS(B19)&lt;1,"OK","No")</f>
        <v>OK</v>
      </c>
      <c r="D19" s="97"/>
      <c r="E19" s="265" t="s">
        <v>182</v>
      </c>
      <c r="F19" s="267"/>
      <c r="G19" s="265" t="s">
        <v>183</v>
      </c>
      <c r="H19" s="262"/>
      <c r="I19" s="107"/>
      <c r="J19" s="115">
        <v>17</v>
      </c>
      <c r="K19" s="37">
        <f>'1. Autocorr'!B19</f>
        <v>0.91413563801271902</v>
      </c>
      <c r="L19" s="37">
        <f t="shared" si="0"/>
        <v>-0.86540707871819866</v>
      </c>
      <c r="M19" s="37">
        <f ca="1">IF($F$6 &lt;= 3,SUMPRODUCT(OFFSET($F$10,-1,0):OFFSET($F$10,-$F$6,0),OFFSET(K19,-$F$6,0):OFFSET(K19,-1,0)),0)</f>
        <v>3.2475531914867899</v>
      </c>
      <c r="N19" s="116">
        <f ca="1">IF($G$6 &lt;= 3,SUMPRODUCT(OFFSET($G$10,-1,0):OFFSET($G$10,-$G$6,0),OFFSET(P19,-$G$6,0):OFFSET(P19,-1,0)),0)</f>
        <v>1.7240988319882466E-2</v>
      </c>
      <c r="O19" s="37">
        <f t="shared" ca="1" si="2"/>
        <v>3.7356044770243257</v>
      </c>
      <c r="P19" s="117">
        <f t="shared" ca="1" si="1"/>
        <v>-2.8214688390116067</v>
      </c>
    </row>
    <row r="20" spans="1:16" ht="18">
      <c r="A20" s="216" t="s">
        <v>162</v>
      </c>
      <c r="B20" s="218">
        <f>F9+F8+F7</f>
        <v>0.71805499035973797</v>
      </c>
      <c r="C20" s="219" t="str">
        <f>IF(F9+F8+F7&lt;1,"OK","No")</f>
        <v>OK</v>
      </c>
      <c r="D20" s="97"/>
      <c r="E20" s="265" t="s">
        <v>184</v>
      </c>
      <c r="F20" s="266"/>
      <c r="G20" s="265" t="s">
        <v>185</v>
      </c>
      <c r="H20" s="262"/>
      <c r="I20" s="106"/>
      <c r="J20" s="115">
        <v>18</v>
      </c>
      <c r="K20" s="37">
        <f>'1. Autocorr'!B20</f>
        <v>1.7656540318667853</v>
      </c>
      <c r="L20" s="37">
        <f t="shared" si="0"/>
        <v>-1.3888684864132417E-2</v>
      </c>
      <c r="M20" s="37">
        <f ca="1">IF($F$6 &lt;= 3,SUMPRODUCT(OFFSET($F$10,-1,0):OFFSET($F$10,-$F$6,0),OFFSET(K20,-$F$6,0):OFFSET(K20,-1,0)),0)</f>
        <v>0.6545713854646904</v>
      </c>
      <c r="N20" s="116">
        <f ca="1">IF($G$6 &lt;= 3,SUMPRODUCT(OFFSET($G$10,-1,0):OFFSET($G$10,-$G$6,0),OFFSET(P20,-$G$6,0):OFFSET(P20,-1,0)),0)</f>
        <v>-1.7970385003560813E-2</v>
      </c>
      <c r="O20" s="37">
        <f t="shared" ca="1" si="2"/>
        <v>1.1778340443256698</v>
      </c>
      <c r="P20" s="117">
        <f t="shared" ca="1" si="1"/>
        <v>0.58781998754111542</v>
      </c>
    </row>
    <row r="21" spans="1:16" ht="18">
      <c r="A21" s="214" t="s">
        <v>164</v>
      </c>
      <c r="B21" s="218">
        <f>-F9+F8-F7</f>
        <v>-0.71605499035973796</v>
      </c>
      <c r="C21" s="219" t="str">
        <f>IF(-F9+F8-F7&lt;1,"OK","No")</f>
        <v>OK</v>
      </c>
      <c r="D21" s="94"/>
      <c r="E21" s="104"/>
      <c r="F21" s="254"/>
      <c r="G21" s="104"/>
      <c r="H21" s="104"/>
      <c r="I21" s="108"/>
      <c r="J21" s="115">
        <v>19</v>
      </c>
      <c r="K21" s="37">
        <f>'1. Autocorr'!B21</f>
        <v>2.4062615234113913</v>
      </c>
      <c r="L21" s="37">
        <f t="shared" si="0"/>
        <v>0.62671880668047364</v>
      </c>
      <c r="M21" s="37">
        <f ca="1">IF($F$6 &lt;= 3,SUMPRODUCT(OFFSET($F$10,-1,0):OFFSET($F$10,-$F$6,0),OFFSET(K21,-$F$6,0):OFFSET(K21,-1,0)),0)</f>
        <v>1.2643053807670035</v>
      </c>
      <c r="N21" s="116">
        <f ca="1">IF($G$6 &lt;= 3,SUMPRODUCT(OFFSET($G$10,-1,0):OFFSET($G$10,-$G$6,0),OFFSET(P21,-$G$6,0):OFFSET(P21,-1,0)),0)</f>
        <v>3.7439192461904453E-3</v>
      </c>
      <c r="O21" s="37">
        <f t="shared" ca="1" si="2"/>
        <v>1.7658537353782313</v>
      </c>
      <c r="P21" s="117">
        <f t="shared" ca="1" si="1"/>
        <v>0.64040778803316001</v>
      </c>
    </row>
    <row r="22" spans="1:16" ht="18">
      <c r="A22" s="216" t="s">
        <v>193</v>
      </c>
      <c r="B22" s="218">
        <f>F7*(F7-F9)-F8</f>
        <v>-1.7150549903597379E-3</v>
      </c>
      <c r="C22" s="220" t="str">
        <f>IF(F7*(F7-F9)-F8&lt;1,"OK","No")</f>
        <v>OK</v>
      </c>
      <c r="D22" s="94"/>
      <c r="E22" s="104"/>
      <c r="F22" s="254"/>
      <c r="G22" s="104"/>
      <c r="H22" s="104"/>
      <c r="I22" s="108"/>
      <c r="J22" s="115">
        <v>20</v>
      </c>
      <c r="K22" s="37">
        <f>'1. Autocorr'!B22</f>
        <v>4.962504573630425</v>
      </c>
      <c r="L22" s="37">
        <f t="shared" si="0"/>
        <v>3.1829618568995075</v>
      </c>
      <c r="M22" s="37">
        <f ca="1">IF($F$6 &lt;= 3,SUMPRODUCT(OFFSET($F$10,-1,0):OFFSET($F$10,-$F$6,0),OFFSET(K22,-$F$6,0):OFFSET(K22,-1,0)),0)</f>
        <v>1.7230155719493523</v>
      </c>
      <c r="N22" s="116">
        <f ca="1">IF($G$6 &lt;= 3,SUMPRODUCT(OFFSET($G$10,-1,0):OFFSET($G$10,-$G$6,0),OFFSET(P22,-$G$6,0):OFFSET(P22,-1,0)),0)</f>
        <v>4.0788593342275465E-3</v>
      </c>
      <c r="O22" s="37">
        <f t="shared" ca="1" si="2"/>
        <v>2.2242289864725433</v>
      </c>
      <c r="P22" s="117">
        <f t="shared" ca="1" si="1"/>
        <v>2.7382755871578817</v>
      </c>
    </row>
    <row r="23" spans="1:16" ht="18">
      <c r="A23" s="214" t="s">
        <v>167</v>
      </c>
      <c r="B23" s="218">
        <f>ABS(G7)</f>
        <v>0</v>
      </c>
      <c r="C23" s="215" t="str">
        <f>IF(ABS(B23)&lt;1,"OK","No")</f>
        <v>OK</v>
      </c>
      <c r="D23" s="97"/>
      <c r="E23" s="200"/>
      <c r="F23" s="96"/>
      <c r="G23" s="104"/>
      <c r="H23" s="104"/>
      <c r="I23" s="108"/>
      <c r="J23" s="115">
        <v>21</v>
      </c>
      <c r="K23" s="37">
        <f>'1. Autocorr'!B23</f>
        <v>1.2850018151585152</v>
      </c>
      <c r="L23" s="37">
        <f t="shared" si="0"/>
        <v>-0.49454090157240249</v>
      </c>
      <c r="M23" s="37">
        <f ca="1">IF($F$6 &lt;= 3,SUMPRODUCT(OFFSET($F$10,-1,0):OFFSET($F$10,-$F$6,0),OFFSET(K23,-$F$6,0):OFFSET(K23,-1,0)),0)</f>
        <v>3.5534261646310896</v>
      </c>
      <c r="N23" s="116">
        <f ca="1">IF($G$6 &lt;= 3,SUMPRODUCT(OFFSET($G$10,-1,0):OFFSET($G$10,-$G$6,0),OFFSET(P23,-$G$6,0):OFFSET(P23,-1,0)),0)</f>
        <v>1.7440513914843293E-2</v>
      </c>
      <c r="O23" s="37">
        <f t="shared" ca="1" si="2"/>
        <v>4.0412779245736647</v>
      </c>
      <c r="P23" s="117">
        <f t="shared" ca="1" si="1"/>
        <v>-2.7562761094151496</v>
      </c>
    </row>
    <row r="24" spans="1:16" ht="18">
      <c r="A24" s="216" t="s">
        <v>169</v>
      </c>
      <c r="B24" s="218">
        <f>G9+G8+G7</f>
        <v>6.3691594800161068E-3</v>
      </c>
      <c r="C24" s="219" t="str">
        <f>IF(G9+G8+G7&lt;1,"OK","No")</f>
        <v>OK</v>
      </c>
      <c r="D24" s="104"/>
      <c r="E24" s="200"/>
      <c r="F24" s="255"/>
      <c r="G24" s="104"/>
      <c r="H24" s="104"/>
      <c r="I24" s="108"/>
      <c r="J24" s="115">
        <v>22</v>
      </c>
      <c r="K24" s="37">
        <f>'1. Autocorr'!B24</f>
        <v>2.1140007203459419</v>
      </c>
      <c r="L24" s="37">
        <f t="shared" si="0"/>
        <v>0.3344580036150242</v>
      </c>
      <c r="M24" s="37">
        <f ca="1">IF($F$6 &lt;= 3,SUMPRODUCT(OFFSET($F$10,-1,0):OFFSET($F$10,-$F$6,0),OFFSET(K24,-$F$6,0):OFFSET(K24,-1,0)),0)</f>
        <v>0.92013196236557637</v>
      </c>
      <c r="N24" s="116">
        <f ca="1">IF($G$6 &lt;= 3,SUMPRODUCT(OFFSET($G$10,-1,0):OFFSET($G$10,-$G$6,0),OFFSET(P24,-$G$6,0):OFFSET(P24,-1,0)),0)</f>
        <v>-1.7555162111823411E-2</v>
      </c>
      <c r="O24" s="37">
        <f t="shared" ca="1" si="2"/>
        <v>1.4429793983348185</v>
      </c>
      <c r="P24" s="117">
        <f t="shared" ca="1" si="1"/>
        <v>0.67102132201112341</v>
      </c>
    </row>
    <row r="25" spans="1:16" ht="18">
      <c r="A25" s="214" t="s">
        <v>171</v>
      </c>
      <c r="B25" s="218">
        <f>-G9+G8-G7</f>
        <v>-6.3691594800161068E-3</v>
      </c>
      <c r="C25" s="219" t="str">
        <f>IF(-G9+G8-G7&lt;1,"OK","No")</f>
        <v>OK</v>
      </c>
      <c r="D25" s="104"/>
      <c r="E25" s="104"/>
      <c r="F25" s="256"/>
      <c r="G25" s="104"/>
      <c r="H25" s="107"/>
      <c r="I25" s="108"/>
      <c r="J25" s="115">
        <v>23</v>
      </c>
      <c r="K25" s="37">
        <f>'1. Autocorr'!B25</f>
        <v>2.7456002858513884</v>
      </c>
      <c r="L25" s="37">
        <f t="shared" si="0"/>
        <v>0.96605756912047069</v>
      </c>
      <c r="M25" s="37">
        <f ca="1">IF($F$6 &lt;= 3,SUMPRODUCT(OFFSET($F$10,-1,0):OFFSET($F$10,-$F$6,0),OFFSET(K25,-$F$6,0):OFFSET(K25,-1,0)),0)</f>
        <v>1.5137407654277926</v>
      </c>
      <c r="N25" s="116">
        <f ca="1">IF($G$6 &lt;= 3,SUMPRODUCT(OFFSET($G$10,-1,0):OFFSET($G$10,-$G$6,0),OFFSET(P25,-$G$6,0):OFFSET(P25,-1,0)),0)</f>
        <v>4.2738418143800872E-3</v>
      </c>
      <c r="O25" s="37">
        <f t="shared" ca="1" si="2"/>
        <v>2.014759197470831</v>
      </c>
      <c r="P25" s="117">
        <f t="shared" ca="1" si="1"/>
        <v>0.73084108838055739</v>
      </c>
    </row>
    <row r="26" spans="1:16" ht="18">
      <c r="A26" s="221" t="s">
        <v>173</v>
      </c>
      <c r="B26" s="222">
        <f>G7*(G7-G9)-G8</f>
        <v>0</v>
      </c>
      <c r="C26" s="223" t="str">
        <f>IF(G7*(G7-G9)-G8&lt;1,"OK","No")</f>
        <v>OK</v>
      </c>
      <c r="D26" s="104"/>
      <c r="E26" s="104"/>
      <c r="F26" s="255"/>
      <c r="G26" s="257"/>
      <c r="H26" s="104"/>
      <c r="I26" s="108"/>
      <c r="J26" s="115">
        <v>24</v>
      </c>
      <c r="K26" s="37">
        <f>'1. Autocorr'!B26</f>
        <v>1.2982401134257575</v>
      </c>
      <c r="L26" s="37">
        <f t="shared" si="0"/>
        <v>-0.48130260330516017</v>
      </c>
      <c r="M26" s="37">
        <f ca="1">IF($F$6 &lt;= 3,SUMPRODUCT(OFFSET($F$10,-1,0):OFFSET($F$10,-$F$6,0),OFFSET(K26,-$F$6,0):OFFSET(K26,-1,0)),0)</f>
        <v>1.9660007862170097</v>
      </c>
      <c r="N26" s="116">
        <f ca="1">IF($G$6 &lt;= 3,SUMPRODUCT(OFFSET($G$10,-1,0):OFFSET($G$10,-$G$6,0),OFFSET(P26,-$G$6,0):OFFSET(P26,-1,0)),0)</f>
        <v>4.6548434464443161E-3</v>
      </c>
      <c r="O26" s="37">
        <f t="shared" ca="1" si="2"/>
        <v>2.4666382166279841</v>
      </c>
      <c r="P26" s="117">
        <f t="shared" ca="1" si="1"/>
        <v>-1.1683981032022266</v>
      </c>
    </row>
    <row r="27" spans="1:16">
      <c r="G27" s="258"/>
      <c r="H27" s="104"/>
      <c r="I27" s="108"/>
      <c r="J27" s="115">
        <v>25</v>
      </c>
      <c r="K27" s="37">
        <f>'1. Autocorr'!B27</f>
        <v>1.9296045004381313E-2</v>
      </c>
      <c r="L27" s="37">
        <f t="shared" si="0"/>
        <v>-1.7602466717265364</v>
      </c>
      <c r="M27" s="37">
        <f ca="1">IF($F$6 &lt;= 3,SUMPRODUCT(OFFSET($F$10,-1,0):OFFSET($F$10,-$F$6,0),OFFSET(K27,-$F$6,0):OFFSET(K27,-1,0)),0)</f>
        <v>0.92961131190370594</v>
      </c>
      <c r="N27" s="116">
        <f ca="1">IF($G$6 &lt;= 3,SUMPRODUCT(OFFSET($G$10,-1,0):OFFSET($G$10,-$G$6,0),OFFSET(P27,-$G$6,0):OFFSET(P27,-1,0)),0)</f>
        <v>-7.4417138554432986E-3</v>
      </c>
      <c r="O27" s="37">
        <f t="shared" ca="1" si="2"/>
        <v>1.4423452996165675</v>
      </c>
      <c r="P27" s="117">
        <f t="shared" ca="1" si="1"/>
        <v>-1.4230492546121862</v>
      </c>
    </row>
    <row r="28" spans="1:16">
      <c r="G28" s="109"/>
      <c r="H28" s="108"/>
      <c r="I28" s="108"/>
      <c r="J28" s="115">
        <v>26</v>
      </c>
      <c r="K28" s="37">
        <f>'1. Autocorr'!B28</f>
        <v>0.8077184178553809</v>
      </c>
      <c r="L28" s="37">
        <f t="shared" si="0"/>
        <v>-0.97182429887553679</v>
      </c>
      <c r="M28" s="37">
        <f ca="1">IF($F$6 &lt;= 3,SUMPRODUCT(OFFSET($F$10,-1,0):OFFSET($F$10,-$F$6,0),OFFSET(K28,-$F$6,0):OFFSET(K28,-1,0)),0)</f>
        <v>1.3817029319593331E-2</v>
      </c>
      <c r="N28" s="116">
        <f ca="1">IF($G$6 &lt;= 3,SUMPRODUCT(OFFSET($G$10,-1,0):OFFSET($G$10,-$G$6,0),OFFSET(P28,-$G$6,0):OFFSET(P28,-1,0)),0)</f>
        <v>-9.0636276505430598E-3</v>
      </c>
      <c r="O28" s="37">
        <f t="shared" ca="1" si="2"/>
        <v>0.52817293082755479</v>
      </c>
      <c r="P28" s="117">
        <f t="shared" ca="1" si="1"/>
        <v>0.27954548702782611</v>
      </c>
    </row>
    <row r="29" spans="1:16">
      <c r="G29" s="110"/>
      <c r="H29" s="108"/>
      <c r="J29" s="115">
        <v>27</v>
      </c>
      <c r="K29" s="37">
        <f>'1. Autocorr'!B29</f>
        <v>-0.57691263291639938</v>
      </c>
      <c r="L29" s="37">
        <f t="shared" si="0"/>
        <v>-2.3564553496473168</v>
      </c>
      <c r="M29" s="37">
        <f ca="1">IF($F$6 &lt;= 3,SUMPRODUCT(OFFSET($F$10,-1,0):OFFSET($F$10,-$F$6,0),OFFSET(K29,-$F$6,0):OFFSET(K29,-1,0)),0)</f>
        <v>0.57837080391081752</v>
      </c>
      <c r="N29" s="116">
        <f ca="1">IF($G$6 &lt;= 3,SUMPRODUCT(OFFSET($G$10,-1,0):OFFSET($G$10,-$G$6,0),OFFSET(P29,-$G$6,0):OFFSET(P29,-1,0)),0)</f>
        <v>1.7804697887989984E-3</v>
      </c>
      <c r="O29" s="37">
        <f t="shared" ca="1" si="2"/>
        <v>1.0818826079794368</v>
      </c>
      <c r="P29" s="117">
        <f t="shared" ca="1" si="1"/>
        <v>-1.6587952408958362</v>
      </c>
    </row>
    <row r="30" spans="1:16">
      <c r="G30" s="110"/>
      <c r="H30" s="108"/>
      <c r="J30" s="115">
        <v>28</v>
      </c>
      <c r="K30" s="37">
        <f>'1. Autocorr'!B30</f>
        <v>-1.8307650531899835</v>
      </c>
      <c r="L30" s="37">
        <f t="shared" si="0"/>
        <v>-3.610307769920901</v>
      </c>
      <c r="M30" s="37">
        <f ca="1">IF($F$6 &lt;= 3,SUMPRODUCT(OFFSET($F$10,-1,0):OFFSET($F$10,-$F$6,0),OFFSET(K30,-$F$6,0):OFFSET(K30,-1,0)),0)</f>
        <v>-0.41310116980136341</v>
      </c>
      <c r="N30" s="116">
        <f ca="1">IF($G$6 &lt;= 3,SUMPRODUCT(OFFSET($G$10,-1,0):OFFSET($G$10,-$G$6,0),OFFSET(P30,-$G$6,0):OFFSET(P30,-1,0)),0)</f>
        <v>-1.0565131433957316E-2</v>
      </c>
      <c r="O30" s="37">
        <f t="shared" ca="1" si="2"/>
        <v>0.10275623549001239</v>
      </c>
      <c r="P30" s="117">
        <f t="shared" ca="1" si="1"/>
        <v>-1.933521288679996</v>
      </c>
    </row>
    <row r="31" spans="1:16">
      <c r="G31" s="110"/>
      <c r="H31" s="108"/>
      <c r="J31" s="115">
        <v>29</v>
      </c>
      <c r="K31" s="37">
        <f>'1. Autocorr'!B31</f>
        <v>-3.0323060212853661</v>
      </c>
      <c r="L31" s="37">
        <f t="shared" si="0"/>
        <v>-4.811848738016284</v>
      </c>
      <c r="M31" s="37">
        <f ca="1">IF($F$6 &lt;= 3,SUMPRODUCT(OFFSET($F$10,-1,0):OFFSET($F$10,-$F$6,0),OFFSET(K31,-$F$6,0):OFFSET(K31,-1,0)),0)</f>
        <v>-1.3109284525128988</v>
      </c>
      <c r="N31" s="116">
        <f ca="1">IF($G$6 &lt;= 3,SUMPRODUCT(OFFSET($G$10,-1,0):OFFSET($G$10,-$G$6,0),OFFSET(P31,-$G$6,0):OFFSET(P31,-1,0)),0)</f>
        <v>-1.2314905445609156E-2</v>
      </c>
      <c r="O31" s="37">
        <f t="shared" ca="1" si="2"/>
        <v>-0.79332127320987111</v>
      </c>
      <c r="P31" s="117">
        <f t="shared" ca="1" si="1"/>
        <v>-2.2389847480754952</v>
      </c>
    </row>
    <row r="32" spans="1:16">
      <c r="G32" s="111"/>
      <c r="H32" s="108"/>
      <c r="J32" s="115">
        <v>30</v>
      </c>
      <c r="K32" s="37">
        <f>'1. Autocorr'!B32</f>
        <v>-6.2129224085178993</v>
      </c>
      <c r="L32" s="37">
        <f t="shared" si="0"/>
        <v>-7.9924651252488168</v>
      </c>
      <c r="M32" s="37">
        <f ca="1">IF($F$6 &lt;= 3,SUMPRODUCT(OFFSET($F$10,-1,0):OFFSET($F$10,-$F$6,0),OFFSET(K32,-$F$6,0):OFFSET(K32,-1,0)),0)</f>
        <v>-2.1712978588392682</v>
      </c>
      <c r="N32" s="116">
        <f ca="1">IF($G$6 &lt;= 3,SUMPRODUCT(OFFSET($G$10,-1,0):OFFSET($G$10,-$G$6,0),OFFSET(P32,-$G$6,0):OFFSET(P32,-1,0)),0)</f>
        <v>-1.4260450933816515E-2</v>
      </c>
      <c r="O32" s="37">
        <f t="shared" ca="1" si="2"/>
        <v>-1.6517451340480334</v>
      </c>
      <c r="P32" s="117">
        <f t="shared" ca="1" si="1"/>
        <v>-4.5611772744698662</v>
      </c>
    </row>
    <row r="33" spans="10:16">
      <c r="J33" s="115">
        <v>31</v>
      </c>
      <c r="K33" s="37">
        <f>'1. Autocorr'!B33</f>
        <v>-1.1851689634086644</v>
      </c>
      <c r="L33" s="37">
        <f t="shared" si="0"/>
        <v>-2.9647116801395823</v>
      </c>
      <c r="M33" s="37">
        <f ca="1">IF($F$6 &lt;= 3,SUMPRODUCT(OFFSET($F$10,-1,0):OFFSET($F$10,-$F$6,0),OFFSET(K33,-$F$6,0):OFFSET(K33,-1,0)),0)</f>
        <v>-4.4487940953370844</v>
      </c>
      <c r="N33" s="116">
        <f ca="1">IF($G$6 &lt;= 3,SUMPRODUCT(OFFSET($G$10,-1,0):OFFSET($G$10,-$G$6,0),OFFSET(P33,-$G$6,0):OFFSET(P33,-1,0)),0)</f>
        <v>-2.9050865477723776E-2</v>
      </c>
      <c r="O33" s="37">
        <f t="shared" ca="1" si="2"/>
        <v>-3.914450956001942</v>
      </c>
      <c r="P33" s="117">
        <f t="shared" ca="1" si="1"/>
        <v>2.7292819925932776</v>
      </c>
    </row>
    <row r="34" spans="10:16">
      <c r="J34" s="115">
        <v>32</v>
      </c>
      <c r="K34" s="37">
        <f>'1. Autocorr'!B34</f>
        <v>-2.8740675853640711</v>
      </c>
      <c r="L34" s="37">
        <f t="shared" si="0"/>
        <v>-4.6536103020949886</v>
      </c>
      <c r="M34" s="37">
        <f ca="1">IF($F$6 &lt;= 3,SUMPRODUCT(OFFSET($F$10,-1,0):OFFSET($F$10,-$F$6,0),OFFSET(K34,-$F$6,0):OFFSET(K34,-1,0)),0)</f>
        <v>-0.84864615066825178</v>
      </c>
      <c r="N34" s="116">
        <f ca="1">IF($G$6 &lt;= 3,SUMPRODUCT(OFFSET($G$10,-1,0):OFFSET($G$10,-$G$6,0),OFFSET(P34,-$G$6,0):OFFSET(P34,-1,0)),0)</f>
        <v>1.7383232276762726E-2</v>
      </c>
      <c r="O34" s="37">
        <f t="shared" ca="1" si="2"/>
        <v>-0.36073710908759604</v>
      </c>
      <c r="P34" s="117">
        <f t="shared" ca="1" si="1"/>
        <v>-2.513330476276475</v>
      </c>
    </row>
    <row r="35" spans="10:16">
      <c r="J35" s="115">
        <v>33</v>
      </c>
      <c r="K35" s="37">
        <f>'1. Autocorr'!B35</f>
        <v>-6.2496270341458739</v>
      </c>
      <c r="L35" s="37">
        <f t="shared" si="0"/>
        <v>-8.0291697508767914</v>
      </c>
      <c r="M35" s="37">
        <f ca="1">IF($F$6 &lt;= 3,SUMPRODUCT(OFFSET($F$10,-1,0):OFFSET($F$10,-$F$6,0),OFFSET(K35,-$F$6,0):OFFSET(K35,-1,0)),0)</f>
        <v>-2.0579904371311053</v>
      </c>
      <c r="N35" s="116">
        <f ca="1">IF($G$6 &lt;= 3,SUMPRODUCT(OFFSET($G$10,-1,0):OFFSET($G$10,-$G$6,0),OFFSET(P35,-$G$6,0):OFFSET(P35,-1,0)),0)</f>
        <v>-1.6007802629389709E-2</v>
      </c>
      <c r="O35" s="37">
        <f t="shared" ca="1" si="2"/>
        <v>-1.5366903606442972</v>
      </c>
      <c r="P35" s="117">
        <f t="shared" ca="1" si="1"/>
        <v>-4.7129366735015772</v>
      </c>
    </row>
    <row r="36" spans="10:16">
      <c r="J36" s="115">
        <v>34</v>
      </c>
      <c r="K36" s="37">
        <f>'1. Autocorr'!B36</f>
        <v>-1.2998508136584519</v>
      </c>
      <c r="L36" s="37">
        <f t="shared" si="0"/>
        <v>-3.0793935303893694</v>
      </c>
      <c r="M36" s="37">
        <f ca="1">IF($F$6 &lt;= 3,SUMPRODUCT(OFFSET($F$10,-1,0):OFFSET($F$10,-$F$6,0),OFFSET(K36,-$F$6,0):OFFSET(K36,-1,0)),0)</f>
        <v>-4.4750766256872812</v>
      </c>
      <c r="N36" s="116">
        <f ca="1">IF($G$6 &lt;= 3,SUMPRODUCT(OFFSET($G$10,-1,0):OFFSET($G$10,-$G$6,0),OFFSET(P36,-$G$6,0):OFFSET(P36,-1,0)),0)</f>
        <v>-3.0017445292748145E-2</v>
      </c>
      <c r="O36" s="37">
        <f t="shared" ca="1" si="2"/>
        <v>-3.9397669065371148</v>
      </c>
      <c r="P36" s="117">
        <f t="shared" ca="1" si="1"/>
        <v>2.6399160928786629</v>
      </c>
    </row>
    <row r="37" spans="10:16">
      <c r="J37" s="115">
        <v>35</v>
      </c>
      <c r="K37" s="37">
        <f>'1. Autocorr'!B37</f>
        <v>-1.0199403254634252</v>
      </c>
      <c r="L37" s="37">
        <f t="shared" si="0"/>
        <v>-2.7994830421943426</v>
      </c>
      <c r="M37" s="37">
        <f ca="1">IF($F$6 &lt;= 3,SUMPRODUCT(OFFSET($F$10,-1,0):OFFSET($F$10,-$F$6,0),OFFSET(K37,-$F$6,0):OFFSET(K37,-1,0)),0)</f>
        <v>-0.93076466184330031</v>
      </c>
      <c r="N37" s="116">
        <f ca="1">IF($G$6 &lt;= 3,SUMPRODUCT(OFFSET($G$10,-1,0):OFFSET($G$10,-$G$6,0),OFFSET(P37,-$G$6,0):OFFSET(P37,-1,0)),0)</f>
        <v>1.6814046609405216E-2</v>
      </c>
      <c r="O37" s="37">
        <f t="shared" ca="1" si="2"/>
        <v>-0.44228643459528705</v>
      </c>
      <c r="P37" s="117">
        <f t="shared" ca="1" si="1"/>
        <v>-0.57765389086813812</v>
      </c>
    </row>
    <row r="38" spans="10:16">
      <c r="J38" s="115">
        <v>36</v>
      </c>
      <c r="K38" s="37">
        <f>'1. Autocorr'!B38</f>
        <v>-2.6079761301853921</v>
      </c>
      <c r="L38" s="37">
        <f t="shared" si="0"/>
        <v>-4.3875188469163096</v>
      </c>
      <c r="M38" s="37">
        <f ca="1">IF($F$6 &lt;= 3,SUMPRODUCT(OFFSET($F$10,-1,0):OFFSET($F$10,-$F$6,0),OFFSET(K38,-$F$6,0):OFFSET(K38,-1,0)),0)</f>
        <v>-0.73033335991722093</v>
      </c>
      <c r="N38" s="116">
        <f ca="1">IF($G$6 &lt;= 3,SUMPRODUCT(OFFSET($G$10,-1,0):OFFSET($G$10,-$G$6,0),OFFSET(P38,-$G$6,0):OFFSET(P38,-1,0)),0)</f>
        <v>-3.6791697551909917E-3</v>
      </c>
      <c r="O38" s="37">
        <f t="shared" ca="1" si="2"/>
        <v>-0.22136191630461144</v>
      </c>
      <c r="P38" s="117">
        <f t="shared" ca="1" si="1"/>
        <v>-2.3866142138807804</v>
      </c>
    </row>
    <row r="39" spans="10:16">
      <c r="J39" s="115">
        <v>37</v>
      </c>
      <c r="K39" s="37">
        <f>'1. Autocorr'!B39</f>
        <v>2.0568095479258304</v>
      </c>
      <c r="L39" s="37">
        <f t="shared" si="0"/>
        <v>0.27726683119491269</v>
      </c>
      <c r="M39" s="37">
        <f ca="1">IF($F$6 &lt;= 3,SUMPRODUCT(OFFSET($F$10,-1,0):OFFSET($F$10,-$F$6,0),OFFSET(K39,-$F$6,0):OFFSET(K39,-1,0)),0)</f>
        <v>-1.8674543227583276</v>
      </c>
      <c r="N39" s="116">
        <f ca="1">IF($G$6 &lt;= 3,SUMPRODUCT(OFFSET($G$10,-1,0):OFFSET($G$10,-$G$6,0),OFFSET(P39,-$G$6,0):OFFSET(P39,-1,0)),0)</f>
        <v>-1.5200726545479961E-2</v>
      </c>
      <c r="O39" s="37">
        <f t="shared" ca="1" si="2"/>
        <v>-1.3469613223554293</v>
      </c>
      <c r="P39" s="117">
        <f t="shared" ca="1" si="1"/>
        <v>3.4037708702812597</v>
      </c>
    </row>
    <row r="40" spans="10:16">
      <c r="J40" s="115">
        <v>38</v>
      </c>
      <c r="K40" s="37">
        <f>'1. Autocorr'!B40</f>
        <v>2.2227238191703229</v>
      </c>
      <c r="L40" s="37">
        <f t="shared" si="0"/>
        <v>0.44318110243940523</v>
      </c>
      <c r="M40" s="37">
        <f ca="1">IF($F$6 &lt;= 3,SUMPRODUCT(OFFSET($F$10,-1,0):OFFSET($F$10,-$F$6,0),OFFSET(K40,-$F$6,0):OFFSET(K40,-1,0)),0)</f>
        <v>1.4727887410118474</v>
      </c>
      <c r="N40" s="116">
        <f ca="1">IF($G$6 &lt;= 3,SUMPRODUCT(OFFSET($G$10,-1,0):OFFSET($G$10,-$G$6,0),OFFSET(P40,-$G$6,0):OFFSET(P40,-1,0)),0)</f>
        <v>2.1679159506254559E-2</v>
      </c>
      <c r="O40" s="37">
        <f t="shared" ca="1" si="2"/>
        <v>1.9564018553630111</v>
      </c>
      <c r="P40" s="117">
        <f t="shared" ca="1" si="1"/>
        <v>0.26632196380731177</v>
      </c>
    </row>
    <row r="41" spans="10:16">
      <c r="J41" s="115">
        <v>39</v>
      </c>
      <c r="K41" s="37">
        <f>'1. Autocorr'!B41</f>
        <v>0.58908952766812117</v>
      </c>
      <c r="L41" s="37">
        <f t="shared" si="0"/>
        <v>-1.1904531890627965</v>
      </c>
      <c r="M41" s="37">
        <f ca="1">IF($F$6 &lt;= 3,SUMPRODUCT(OFFSET($F$10,-1,0):OFFSET($F$10,-$F$6,0),OFFSET(K41,-$F$6,0):OFFSET(K41,-1,0)),0)</f>
        <v>1.5915924829083654</v>
      </c>
      <c r="N41" s="116">
        <f ca="1">IF($G$6 &lt;= 3,SUMPRODUCT(OFFSET($G$10,-1,0):OFFSET($G$10,-$G$6,0),OFFSET(P41,-$G$6,0):OFFSET(P41,-1,0)),0)</f>
        <v>1.6962470605198462E-3</v>
      </c>
      <c r="O41" s="37">
        <f t="shared" ca="1" si="2"/>
        <v>2.095188509705264</v>
      </c>
      <c r="P41" s="117">
        <f t="shared" ca="1" si="1"/>
        <v>-1.5060989820371429</v>
      </c>
    </row>
    <row r="42" spans="10:16">
      <c r="J42" s="115">
        <v>40</v>
      </c>
      <c r="K42" s="37">
        <f>'1. Autocorr'!B42</f>
        <v>5.2356358110672412</v>
      </c>
      <c r="L42" s="37">
        <f t="shared" si="0"/>
        <v>3.4560930943363237</v>
      </c>
      <c r="M42" s="37">
        <f ca="1">IF($F$6 &lt;= 3,SUMPRODUCT(OFFSET($F$10,-1,0):OFFSET($F$10,-$F$6,0),OFFSET(K42,-$F$6,0):OFFSET(K42,-1,0)),0)</f>
        <v>0.4218204960554191</v>
      </c>
      <c r="N42" s="116">
        <f ca="1">IF($G$6 &lt;= 3,SUMPRODUCT(OFFSET($G$10,-1,0):OFFSET($G$10,-$G$6,0),OFFSET(P42,-$G$6,0):OFFSET(P42,-1,0)),0)</f>
        <v>-9.5925846092844765E-3</v>
      </c>
      <c r="O42" s="37">
        <f t="shared" ca="1" si="2"/>
        <v>0.93670535452212211</v>
      </c>
      <c r="P42" s="117">
        <f t="shared" ca="1" si="1"/>
        <v>4.2989304565451194</v>
      </c>
    </row>
    <row r="43" spans="10:16">
      <c r="J43" s="115">
        <v>41</v>
      </c>
      <c r="K43" s="37">
        <f>'1. Autocorr'!B43</f>
        <v>1.3942543244268895</v>
      </c>
      <c r="L43" s="37">
        <f t="shared" si="0"/>
        <v>-0.38528839230402823</v>
      </c>
      <c r="M43" s="37">
        <f ca="1">IF($F$6 &lt;= 3,SUMPRODUCT(OFFSET($F$10,-1,0):OFFSET($F$10,-$F$6,0),OFFSET(K43,-$F$6,0):OFFSET(K43,-1,0)),0)</f>
        <v>3.7490031502208523</v>
      </c>
      <c r="N43" s="116">
        <f ca="1">IF($G$6 &lt;= 3,SUMPRODUCT(OFFSET($G$10,-1,0):OFFSET($G$10,-$G$6,0),OFFSET(P43,-$G$6,0):OFFSET(P43,-1,0)),0)</f>
        <v>2.7380573671234316E-2</v>
      </c>
      <c r="O43" s="37">
        <f t="shared" ca="1" si="2"/>
        <v>4.2269148504070371</v>
      </c>
      <c r="P43" s="117">
        <f t="shared" ca="1" si="1"/>
        <v>-2.8326605259801476</v>
      </c>
    </row>
    <row r="44" spans="10:16">
      <c r="J44" s="115">
        <v>42</v>
      </c>
      <c r="K44" s="37">
        <f>'1. Autocorr'!B44</f>
        <v>2.1577017297707481</v>
      </c>
      <c r="L44" s="37">
        <f t="shared" si="0"/>
        <v>0.37815901303983046</v>
      </c>
      <c r="M44" s="37">
        <f ca="1">IF($F$6 &lt;= 3,SUMPRODUCT(OFFSET($F$10,-1,0):OFFSET($F$10,-$F$6,0),OFFSET(K44,-$F$6,0):OFFSET(K44,-1,0)),0)</f>
        <v>0.99836276683651926</v>
      </c>
      <c r="N44" s="116">
        <f ca="1">IF($G$6 &lt;= 3,SUMPRODUCT(OFFSET($G$10,-1,0):OFFSET($G$10,-$G$6,0),OFFSET(P44,-$G$6,0):OFFSET(P44,-1,0)),0)</f>
        <v>-1.804166664271387E-2</v>
      </c>
      <c r="O44" s="37">
        <f t="shared" ca="1" si="2"/>
        <v>1.5216967073366516</v>
      </c>
      <c r="P44" s="117">
        <f t="shared" ca="1" si="1"/>
        <v>0.63600502243409651</v>
      </c>
    </row>
    <row r="45" spans="10:16">
      <c r="J45" s="115">
        <v>43</v>
      </c>
      <c r="K45" s="37">
        <f>'1. Autocorr'!B45</f>
        <v>6.763080691908292</v>
      </c>
      <c r="L45" s="37">
        <f t="shared" si="0"/>
        <v>4.9835379751773745</v>
      </c>
      <c r="M45" s="37">
        <f ca="1">IF($F$6 &lt;= 3,SUMPRODUCT(OFFSET($F$10,-1,0):OFFSET($F$10,-$F$6,0),OFFSET(K45,-$F$6,0):OFFSET(K45,-1,0)),0)</f>
        <v>1.5450330913101831</v>
      </c>
      <c r="N45" s="116">
        <f ca="1">IF($G$6 &lt;= 3,SUMPRODUCT(OFFSET($G$10,-1,0):OFFSET($G$10,-$G$6,0),OFFSET(P45,-$G$6,0):OFFSET(P45,-1,0)),0)</f>
        <v>4.0508174179739826E-3</v>
      </c>
      <c r="O45" s="37">
        <f t="shared" ca="1" si="2"/>
        <v>2.0462745477496274</v>
      </c>
      <c r="P45" s="117">
        <f t="shared" ca="1" si="1"/>
        <v>4.7168061441586646</v>
      </c>
    </row>
    <row r="46" spans="10:16">
      <c r="J46" s="115">
        <v>44</v>
      </c>
      <c r="K46" s="37">
        <f>'1. Autocorr'!B46</f>
        <v>4.905232276763309</v>
      </c>
      <c r="L46" s="37">
        <f t="shared" si="0"/>
        <v>3.1256895600323915</v>
      </c>
      <c r="M46" s="37">
        <f ca="1">IF($F$6 &lt;= 3,SUMPRODUCT(OFFSET($F$10,-1,0):OFFSET($F$10,-$F$6,0),OFFSET(K46,-$F$6,0):OFFSET(K46,-1,0)),0)</f>
        <v>4.8427376796465218</v>
      </c>
      <c r="N46" s="116">
        <f ca="1">IF($G$6 &lt;= 3,SUMPRODUCT(OFFSET($G$10,-1,0):OFFSET($G$10,-$G$6,0),OFFSET(P46,-$G$6,0):OFFSET(P46,-1,0)),0)</f>
        <v>3.0042090568466379E-2</v>
      </c>
      <c r="O46" s="37">
        <f t="shared" ca="1" si="2"/>
        <v>5.3179878629354738</v>
      </c>
      <c r="P46" s="117">
        <f t="shared" ca="1" si="1"/>
        <v>-0.41275558617216479</v>
      </c>
    </row>
    <row r="47" spans="10:16">
      <c r="J47" s="115">
        <v>45</v>
      </c>
      <c r="K47" s="37">
        <f>'1. Autocorr'!B47</f>
        <v>1.4620929107053158</v>
      </c>
      <c r="L47" s="37">
        <f t="shared" si="0"/>
        <v>-0.31744980602560191</v>
      </c>
      <c r="M47" s="37">
        <f ca="1">IF($F$6 &lt;= 3,SUMPRODUCT(OFFSET($F$10,-1,0):OFFSET($F$10,-$F$6,0),OFFSET(K47,-$F$6,0):OFFSET(K47,-1,0)),0)</f>
        <v>3.5124160506500268</v>
      </c>
      <c r="N47" s="116">
        <f ca="1">IF($G$6 &lt;= 3,SUMPRODUCT(OFFSET($G$10,-1,0):OFFSET($G$10,-$G$6,0),OFFSET(P47,-$G$6,0):OFFSET(P47,-1,0)),0)</f>
        <v>-2.6289061545980486E-3</v>
      </c>
      <c r="O47" s="37">
        <f t="shared" ca="1" si="2"/>
        <v>4.0203372306620437</v>
      </c>
      <c r="P47" s="117">
        <f t="shared" ca="1" si="1"/>
        <v>-2.558244319956728</v>
      </c>
    </row>
    <row r="48" spans="10:16">
      <c r="J48" s="115">
        <v>46</v>
      </c>
      <c r="K48" s="37">
        <f>'1. Autocorr'!B48</f>
        <v>-1.6151628357178818</v>
      </c>
      <c r="L48" s="37">
        <f t="shared" si="0"/>
        <v>-3.3947055524487997</v>
      </c>
      <c r="M48" s="37">
        <f ca="1">IF($F$6 &lt;= 3,SUMPRODUCT(OFFSET($F$10,-1,0):OFFSET($F$10,-$F$6,0),OFFSET(K48,-$F$6,0):OFFSET(K48,-1,0)),0)</f>
        <v>1.0469389250801362</v>
      </c>
      <c r="N48" s="116">
        <f ca="1">IF($G$6 &lt;= 3,SUMPRODUCT(OFFSET($G$10,-1,0):OFFSET($G$10,-$G$6,0),OFFSET(P48,-$G$6,0):OFFSET(P48,-1,0)),0)</f>
        <v>-1.6293866062649751E-2</v>
      </c>
      <c r="O48" s="37">
        <f t="shared" ca="1" si="2"/>
        <v>1.5685250650002045</v>
      </c>
      <c r="P48" s="117">
        <f t="shared" ca="1" si="1"/>
        <v>-3.1836879007180863</v>
      </c>
    </row>
    <row r="49" spans="10:16">
      <c r="J49" s="115">
        <v>47</v>
      </c>
      <c r="K49" s="37">
        <f>'1. Autocorr'!B49</f>
        <v>-4.5460651342871614</v>
      </c>
      <c r="L49" s="37">
        <f t="shared" si="0"/>
        <v>-6.3256078510180789</v>
      </c>
      <c r="M49" s="37">
        <f ca="1">IF($F$6 &lt;= 3,SUMPRODUCT(OFFSET($F$10,-1,0):OFFSET($F$10,-$F$6,0),OFFSET(K49,-$F$6,0):OFFSET(K49,-1,0)),0)</f>
        <v>-1.1565454087593749</v>
      </c>
      <c r="N49" s="116">
        <f ca="1">IF($G$6 &lt;= 3,SUMPRODUCT(OFFSET($G$10,-1,0):OFFSET($G$10,-$G$6,0),OFFSET(P49,-$G$6,0):OFFSET(P49,-1,0)),0)</f>
        <v>-2.0277415974271178E-2</v>
      </c>
      <c r="O49" s="37">
        <f t="shared" ca="1" si="2"/>
        <v>-0.63097571892768534</v>
      </c>
      <c r="P49" s="117">
        <f t="shared" ca="1" si="1"/>
        <v>-3.9150894153594762</v>
      </c>
    </row>
    <row r="50" spans="10:16">
      <c r="J50" s="115">
        <v>48</v>
      </c>
      <c r="K50" s="37">
        <f>'1. Autocorr'!B50</f>
        <v>-1.4184260537148732</v>
      </c>
      <c r="L50" s="37">
        <f t="shared" si="0"/>
        <v>-3.1979687704457911</v>
      </c>
      <c r="M50" s="37">
        <f ca="1">IF($F$6 &lt;= 3,SUMPRODUCT(OFFSET($F$10,-1,0):OFFSET($F$10,-$F$6,0),OFFSET(K50,-$F$6,0):OFFSET(K50,-1,0)),0)</f>
        <v>-3.2552326259067343</v>
      </c>
      <c r="N50" s="116">
        <f ca="1">IF($G$6 &lt;= 3,SUMPRODUCT(OFFSET($G$10,-1,0):OFFSET($G$10,-$G$6,0),OFFSET(P50,-$G$6,0):OFFSET(P50,-1,0)),0)</f>
        <v>-2.4935828864947523E-2</v>
      </c>
      <c r="O50" s="37">
        <f t="shared" ca="1" si="2"/>
        <v>-2.7250045231843685</v>
      </c>
      <c r="P50" s="117">
        <f t="shared" ca="1" si="1"/>
        <v>1.3065784694694953</v>
      </c>
    </row>
    <row r="51" spans="10:16">
      <c r="J51" s="115">
        <v>49</v>
      </c>
      <c r="K51" s="37">
        <f>'1. Autocorr'!B51</f>
        <v>1.1326295785140421</v>
      </c>
      <c r="L51" s="37">
        <f t="shared" si="0"/>
        <v>-0.64691313821687557</v>
      </c>
      <c r="M51" s="37">
        <f ca="1">IF($F$6 &lt;= 3,SUMPRODUCT(OFFSET($F$10,-1,0):OFFSET($F$10,-$F$6,0),OFFSET(K51,-$F$6,0):OFFSET(K51,-1,0)),0)</f>
        <v>-1.0156710542188048</v>
      </c>
      <c r="N51" s="116">
        <f ca="1">IF($G$6 &lt;= 3,SUMPRODUCT(OFFSET($G$10,-1,0):OFFSET($G$10,-$G$6,0),OFFSET(P51,-$G$6,0):OFFSET(P51,-1,0)),0)</f>
        <v>8.3218066452065715E-3</v>
      </c>
      <c r="O51" s="37">
        <f t="shared" ca="1" si="2"/>
        <v>-0.51870058700659283</v>
      </c>
      <c r="P51" s="117">
        <f t="shared" ca="1" si="1"/>
        <v>1.6513301655206349</v>
      </c>
    </row>
    <row r="52" spans="10:16">
      <c r="J52" s="115">
        <v>50</v>
      </c>
      <c r="K52" s="37">
        <f>'1. Autocorr'!B52</f>
        <v>2.0099999999999998</v>
      </c>
      <c r="L52" s="37">
        <f t="shared" si="0"/>
        <v>0.2304572832690821</v>
      </c>
      <c r="M52" s="37">
        <f ca="1">IF($F$6 &lt;= 3,SUMPRODUCT(OFFSET($F$10,-1,0):OFFSET($F$10,-$F$6,0),OFFSET(K52,-$F$6,0):OFFSET(K52,-1,0)),0)</f>
        <v>0.81102506192402646</v>
      </c>
      <c r="N52" s="116">
        <f ca="1">IF($G$6 &lt;= 3,SUMPRODUCT(OFFSET($G$10,-1,0):OFFSET($G$10,-$G$6,0),OFFSET(P52,-$G$6,0):OFFSET(P52,-1,0)),0)</f>
        <v>1.0517585178362319E-2</v>
      </c>
      <c r="O52" s="37">
        <f t="shared" ca="1" si="2"/>
        <v>1.3057997506030827</v>
      </c>
      <c r="P52" s="117">
        <f t="shared" ref="P52" ca="1" si="3">K52-O52</f>
        <v>0.70420024939691706</v>
      </c>
    </row>
    <row r="53" spans="10:16">
      <c r="J53" s="115"/>
      <c r="K53" s="37"/>
      <c r="L53" s="37"/>
      <c r="M53" s="37"/>
      <c r="N53" s="116"/>
      <c r="O53" s="37"/>
      <c r="P53" s="117"/>
    </row>
    <row r="54" spans="10:16">
      <c r="J54" s="115"/>
      <c r="K54" s="37"/>
      <c r="L54" s="37"/>
      <c r="M54" s="37"/>
      <c r="N54" s="116"/>
      <c r="O54" s="37"/>
      <c r="P54" s="117"/>
    </row>
    <row r="55" spans="10:16">
      <c r="J55" s="115"/>
      <c r="K55" s="37"/>
      <c r="L55" s="37"/>
      <c r="M55" s="37"/>
      <c r="N55" s="116"/>
      <c r="O55" s="37"/>
      <c r="P55" s="117"/>
    </row>
    <row r="56" spans="10:16">
      <c r="J56" s="115"/>
      <c r="K56" s="37"/>
      <c r="L56" s="37"/>
      <c r="M56" s="37"/>
      <c r="N56" s="116"/>
      <c r="O56" s="37"/>
      <c r="P56" s="117"/>
    </row>
    <row r="57" spans="10:16">
      <c r="J57" s="115"/>
      <c r="K57" s="37"/>
      <c r="L57" s="37"/>
      <c r="M57" s="37"/>
      <c r="N57" s="116"/>
      <c r="O57" s="37"/>
      <c r="P57" s="117"/>
    </row>
    <row r="58" spans="10:16">
      <c r="J58" s="115"/>
      <c r="K58" s="37"/>
      <c r="L58" s="37"/>
      <c r="M58" s="37"/>
      <c r="N58" s="116"/>
      <c r="O58" s="37"/>
      <c r="P58" s="117"/>
    </row>
    <row r="59" spans="10:16">
      <c r="J59" s="115"/>
      <c r="K59" s="37"/>
      <c r="L59" s="37"/>
      <c r="M59" s="37"/>
      <c r="N59" s="116"/>
      <c r="O59" s="37"/>
      <c r="P59" s="117"/>
    </row>
    <row r="60" spans="10:16">
      <c r="J60" s="115"/>
      <c r="K60" s="37"/>
      <c r="L60" s="37"/>
      <c r="M60" s="37"/>
      <c r="N60" s="116"/>
      <c r="O60" s="37"/>
      <c r="P60" s="117"/>
    </row>
    <row r="61" spans="10:16">
      <c r="J61" s="115"/>
      <c r="K61" s="37"/>
      <c r="L61" s="37"/>
      <c r="M61" s="37"/>
      <c r="N61" s="116"/>
      <c r="O61" s="37"/>
      <c r="P61" s="117"/>
    </row>
    <row r="62" spans="10:16">
      <c r="J62" s="115"/>
      <c r="K62" s="37"/>
      <c r="L62" s="37"/>
      <c r="M62" s="37"/>
      <c r="N62" s="116"/>
      <c r="O62" s="37"/>
      <c r="P62" s="117"/>
    </row>
    <row r="63" spans="10:16">
      <c r="J63" s="115"/>
      <c r="K63" s="37"/>
      <c r="L63" s="37"/>
      <c r="M63" s="37"/>
      <c r="N63" s="116"/>
      <c r="O63" s="37"/>
      <c r="P63" s="117"/>
    </row>
    <row r="64" spans="10:16">
      <c r="J64" s="115"/>
      <c r="K64" s="37"/>
      <c r="L64" s="37"/>
      <c r="M64" s="37"/>
      <c r="N64" s="116"/>
      <c r="O64" s="37"/>
      <c r="P64" s="117"/>
    </row>
    <row r="65" spans="10:16">
      <c r="J65" s="115"/>
      <c r="K65" s="37"/>
      <c r="L65" s="37"/>
      <c r="M65" s="37"/>
      <c r="N65" s="116"/>
      <c r="O65" s="37"/>
      <c r="P65" s="117"/>
    </row>
    <row r="66" spans="10:16">
      <c r="J66" s="115"/>
      <c r="K66" s="37"/>
      <c r="L66" s="37"/>
      <c r="M66" s="37"/>
      <c r="N66" s="116"/>
      <c r="O66" s="37"/>
      <c r="P66" s="117"/>
    </row>
    <row r="67" spans="10:16">
      <c r="J67" s="115"/>
      <c r="K67" s="37"/>
      <c r="L67" s="37"/>
      <c r="M67" s="37"/>
      <c r="N67" s="116"/>
      <c r="O67" s="37"/>
      <c r="P67" s="117"/>
    </row>
    <row r="68" spans="10:16">
      <c r="J68" s="115"/>
      <c r="K68" s="37"/>
      <c r="L68" s="37"/>
      <c r="M68" s="37"/>
      <c r="N68" s="116"/>
      <c r="O68" s="37"/>
      <c r="P68" s="117"/>
    </row>
    <row r="69" spans="10:16">
      <c r="J69" s="115"/>
      <c r="K69" s="37"/>
      <c r="L69" s="37"/>
      <c r="M69" s="37"/>
      <c r="N69" s="116"/>
      <c r="O69" s="37"/>
      <c r="P69" s="117"/>
    </row>
    <row r="70" spans="10:16">
      <c r="J70" s="115"/>
      <c r="K70" s="37"/>
      <c r="L70" s="37"/>
      <c r="M70" s="37"/>
      <c r="N70" s="116"/>
      <c r="O70" s="37"/>
      <c r="P70" s="117"/>
    </row>
    <row r="71" spans="10:16">
      <c r="J71" s="115"/>
      <c r="K71" s="37"/>
      <c r="L71" s="37"/>
      <c r="M71" s="37"/>
      <c r="N71" s="116"/>
      <c r="O71" s="37"/>
      <c r="P71" s="117"/>
    </row>
    <row r="72" spans="10:16">
      <c r="J72" s="115"/>
      <c r="K72" s="37"/>
      <c r="L72" s="37"/>
      <c r="M72" s="37"/>
      <c r="N72" s="116"/>
      <c r="O72" s="37"/>
      <c r="P72" s="117"/>
    </row>
    <row r="73" spans="10:16">
      <c r="J73" s="115"/>
      <c r="K73" s="37"/>
      <c r="L73" s="37"/>
      <c r="M73" s="37"/>
      <c r="N73" s="116"/>
      <c r="O73" s="37"/>
      <c r="P73" s="117"/>
    </row>
    <row r="74" spans="10:16">
      <c r="J74" s="115"/>
      <c r="K74" s="37"/>
      <c r="L74" s="37"/>
      <c r="M74" s="37"/>
      <c r="N74" s="116"/>
      <c r="O74" s="37"/>
      <c r="P74" s="117"/>
    </row>
    <row r="75" spans="10:16">
      <c r="J75" s="115"/>
      <c r="K75" s="37"/>
      <c r="L75" s="37"/>
      <c r="M75" s="37"/>
      <c r="N75" s="116"/>
      <c r="O75" s="37"/>
      <c r="P75" s="117"/>
    </row>
    <row r="76" spans="10:16">
      <c r="J76" s="115"/>
      <c r="K76" s="37"/>
      <c r="L76" s="37"/>
      <c r="M76" s="37"/>
      <c r="N76" s="116"/>
      <c r="O76" s="37"/>
      <c r="P76" s="117"/>
    </row>
    <row r="77" spans="10:16">
      <c r="J77" s="115"/>
      <c r="K77" s="37"/>
      <c r="L77" s="37"/>
      <c r="M77" s="37"/>
      <c r="N77" s="116"/>
      <c r="O77" s="37"/>
      <c r="P77" s="117"/>
    </row>
    <row r="78" spans="10:16">
      <c r="J78" s="115"/>
      <c r="K78" s="37"/>
      <c r="L78" s="37"/>
      <c r="M78" s="37"/>
      <c r="N78" s="116"/>
      <c r="O78" s="37"/>
      <c r="P78" s="117"/>
    </row>
    <row r="79" spans="10:16">
      <c r="J79" s="115"/>
      <c r="K79" s="37"/>
      <c r="L79" s="37"/>
      <c r="M79" s="37"/>
      <c r="N79" s="116"/>
      <c r="O79" s="37"/>
      <c r="P79" s="117"/>
    </row>
    <row r="80" spans="10:16">
      <c r="J80" s="115"/>
      <c r="K80" s="37"/>
      <c r="L80" s="37"/>
      <c r="M80" s="37"/>
      <c r="N80" s="116"/>
      <c r="O80" s="37"/>
      <c r="P80" s="117"/>
    </row>
    <row r="81" spans="10:16">
      <c r="J81" s="115"/>
      <c r="K81" s="37"/>
      <c r="L81" s="37"/>
      <c r="M81" s="37"/>
      <c r="N81" s="116"/>
      <c r="O81" s="37"/>
      <c r="P81" s="117"/>
    </row>
    <row r="82" spans="10:16">
      <c r="J82" s="115"/>
      <c r="K82" s="37"/>
      <c r="L82" s="37"/>
      <c r="M82" s="37"/>
      <c r="N82" s="116"/>
      <c r="O82" s="37"/>
      <c r="P82" s="117"/>
    </row>
    <row r="83" spans="10:16">
      <c r="J83" s="115"/>
      <c r="K83" s="37"/>
      <c r="L83" s="37"/>
      <c r="M83" s="37"/>
      <c r="N83" s="116"/>
      <c r="O83" s="37"/>
      <c r="P83" s="117"/>
    </row>
    <row r="84" spans="10:16">
      <c r="J84" s="115"/>
      <c r="K84" s="37"/>
      <c r="L84" s="37"/>
      <c r="M84" s="37"/>
      <c r="N84" s="116"/>
      <c r="O84" s="37"/>
      <c r="P84" s="117"/>
    </row>
    <row r="85" spans="10:16">
      <c r="J85" s="115"/>
      <c r="K85" s="37"/>
      <c r="L85" s="37"/>
      <c r="M85" s="37"/>
      <c r="N85" s="116"/>
      <c r="O85" s="37"/>
      <c r="P85" s="117"/>
    </row>
    <row r="86" spans="10:16">
      <c r="J86" s="115"/>
      <c r="K86" s="37"/>
      <c r="L86" s="37"/>
      <c r="M86" s="37"/>
      <c r="N86" s="116"/>
      <c r="O86" s="37"/>
      <c r="P86" s="117"/>
    </row>
    <row r="87" spans="10:16">
      <c r="J87" s="115"/>
      <c r="K87" s="37"/>
      <c r="L87" s="37"/>
      <c r="M87" s="37"/>
      <c r="N87" s="116"/>
      <c r="O87" s="37"/>
      <c r="P87" s="117"/>
    </row>
    <row r="88" spans="10:16">
      <c r="J88" s="115"/>
      <c r="K88" s="37"/>
      <c r="L88" s="37"/>
      <c r="M88" s="37"/>
      <c r="N88" s="116"/>
      <c r="O88" s="37"/>
      <c r="P88" s="117"/>
    </row>
    <row r="89" spans="10:16">
      <c r="J89" s="115"/>
      <c r="K89" s="37"/>
      <c r="L89" s="37"/>
      <c r="M89" s="37"/>
      <c r="N89" s="116"/>
      <c r="O89" s="37"/>
      <c r="P89" s="117"/>
    </row>
    <row r="90" spans="10:16">
      <c r="J90" s="115"/>
      <c r="K90" s="37"/>
      <c r="L90" s="37"/>
      <c r="M90" s="37"/>
      <c r="N90" s="116"/>
      <c r="O90" s="37"/>
      <c r="P90" s="117"/>
    </row>
    <row r="91" spans="10:16">
      <c r="J91" s="115"/>
      <c r="K91" s="37"/>
      <c r="L91" s="37"/>
      <c r="M91" s="37"/>
      <c r="N91" s="116"/>
      <c r="O91" s="37"/>
      <c r="P91" s="117"/>
    </row>
    <row r="92" spans="10:16">
      <c r="J92" s="115"/>
      <c r="K92" s="37"/>
      <c r="L92" s="37"/>
      <c r="M92" s="37"/>
      <c r="N92" s="116"/>
      <c r="O92" s="37"/>
      <c r="P92" s="117"/>
    </row>
    <row r="93" spans="10:16">
      <c r="J93" s="115"/>
      <c r="K93" s="37"/>
      <c r="L93" s="37"/>
      <c r="M93" s="37"/>
      <c r="N93" s="116"/>
      <c r="O93" s="37"/>
      <c r="P93" s="117"/>
    </row>
    <row r="94" spans="10:16">
      <c r="J94" s="115"/>
      <c r="K94" s="37"/>
      <c r="L94" s="37"/>
      <c r="M94" s="37"/>
      <c r="N94" s="116"/>
      <c r="O94" s="37"/>
      <c r="P94" s="117"/>
    </row>
    <row r="95" spans="10:16">
      <c r="J95" s="115"/>
      <c r="K95" s="37"/>
      <c r="L95" s="37"/>
      <c r="M95" s="37"/>
      <c r="N95" s="116"/>
      <c r="O95" s="37"/>
      <c r="P95" s="117"/>
    </row>
    <row r="96" spans="10:16">
      <c r="J96" s="115"/>
      <c r="K96" s="37"/>
      <c r="L96" s="37"/>
      <c r="M96" s="37"/>
      <c r="N96" s="116"/>
      <c r="O96" s="37"/>
      <c r="P96" s="117"/>
    </row>
    <row r="97" spans="10:16">
      <c r="J97" s="115"/>
      <c r="K97" s="37"/>
      <c r="L97" s="37"/>
      <c r="M97" s="37"/>
      <c r="N97" s="116"/>
      <c r="O97" s="37"/>
      <c r="P97" s="117"/>
    </row>
    <row r="98" spans="10:16">
      <c r="J98" s="115"/>
      <c r="K98" s="37"/>
      <c r="L98" s="37"/>
      <c r="M98" s="37"/>
      <c r="N98" s="116"/>
      <c r="O98" s="37"/>
      <c r="P98" s="117"/>
    </row>
    <row r="99" spans="10:16">
      <c r="J99" s="115"/>
      <c r="K99" s="37"/>
      <c r="L99" s="37"/>
      <c r="M99" s="37"/>
      <c r="N99" s="116"/>
      <c r="O99" s="37"/>
      <c r="P99" s="117"/>
    </row>
    <row r="100" spans="10:16">
      <c r="J100" s="115"/>
      <c r="K100" s="37"/>
      <c r="L100" s="37"/>
      <c r="M100" s="37"/>
      <c r="N100" s="116"/>
      <c r="O100" s="37"/>
      <c r="P100" s="117"/>
    </row>
    <row r="101" spans="10:16">
      <c r="J101" s="115"/>
      <c r="K101" s="37"/>
      <c r="L101" s="37"/>
      <c r="M101" s="37"/>
      <c r="N101" s="116"/>
      <c r="O101" s="37"/>
      <c r="P101" s="117"/>
    </row>
    <row r="102" spans="10:16">
      <c r="J102" s="115"/>
      <c r="K102" s="37"/>
      <c r="L102" s="37"/>
      <c r="M102" s="37"/>
      <c r="N102" s="116"/>
      <c r="O102" s="37"/>
      <c r="P102" s="117"/>
    </row>
    <row r="103" spans="10:16">
      <c r="J103" s="115"/>
      <c r="K103" s="37"/>
      <c r="L103" s="37"/>
      <c r="M103" s="37"/>
      <c r="N103" s="116"/>
      <c r="O103" s="37"/>
      <c r="P103" s="117"/>
    </row>
    <row r="104" spans="10:16">
      <c r="J104" s="115"/>
      <c r="K104" s="37"/>
      <c r="L104" s="37"/>
      <c r="M104" s="37"/>
      <c r="N104" s="116"/>
      <c r="O104" s="37"/>
      <c r="P104" s="117"/>
    </row>
    <row r="105" spans="10:16">
      <c r="J105" s="115"/>
      <c r="K105" s="37"/>
      <c r="L105" s="37"/>
      <c r="M105" s="37"/>
      <c r="N105" s="116"/>
      <c r="O105" s="37"/>
      <c r="P105" s="117"/>
    </row>
    <row r="106" spans="10:16">
      <c r="J106" s="115"/>
      <c r="K106" s="37"/>
      <c r="L106" s="37"/>
      <c r="M106" s="37"/>
      <c r="N106" s="116"/>
      <c r="O106" s="37"/>
      <c r="P106" s="117"/>
    </row>
    <row r="107" spans="10:16">
      <c r="J107" s="115"/>
      <c r="K107" s="37"/>
      <c r="L107" s="37"/>
      <c r="M107" s="37"/>
      <c r="N107" s="116"/>
      <c r="O107" s="37"/>
      <c r="P107" s="117"/>
    </row>
    <row r="108" spans="10:16">
      <c r="J108" s="115"/>
      <c r="K108" s="37"/>
      <c r="L108" s="37"/>
      <c r="M108" s="37"/>
      <c r="N108" s="116"/>
      <c r="O108" s="37"/>
      <c r="P108" s="117"/>
    </row>
    <row r="109" spans="10:16">
      <c r="J109" s="115"/>
      <c r="K109" s="37"/>
      <c r="L109" s="37"/>
      <c r="M109" s="37"/>
      <c r="N109" s="116"/>
      <c r="O109" s="37"/>
      <c r="P109" s="117"/>
    </row>
    <row r="110" spans="10:16">
      <c r="J110" s="115"/>
      <c r="K110" s="37"/>
      <c r="L110" s="37"/>
      <c r="M110" s="37"/>
      <c r="N110" s="116"/>
      <c r="O110" s="37"/>
      <c r="P110" s="117"/>
    </row>
    <row r="111" spans="10:16">
      <c r="J111" s="115"/>
      <c r="K111" s="37"/>
      <c r="L111" s="37"/>
      <c r="M111" s="37"/>
      <c r="N111" s="116"/>
      <c r="O111" s="37"/>
      <c r="P111" s="117"/>
    </row>
    <row r="112" spans="10:16">
      <c r="J112" s="115"/>
      <c r="K112" s="37"/>
      <c r="L112" s="37"/>
      <c r="M112" s="37"/>
      <c r="N112" s="116"/>
      <c r="O112" s="37"/>
      <c r="P112" s="117"/>
    </row>
    <row r="113" spans="10:16">
      <c r="J113" s="115"/>
      <c r="K113" s="37"/>
      <c r="L113" s="37"/>
      <c r="M113" s="37"/>
      <c r="N113" s="116"/>
      <c r="O113" s="37"/>
      <c r="P113" s="117"/>
    </row>
    <row r="114" spans="10:16">
      <c r="J114" s="115"/>
      <c r="K114" s="37"/>
      <c r="L114" s="37"/>
      <c r="M114" s="37"/>
      <c r="N114" s="116"/>
      <c r="O114" s="37"/>
      <c r="P114" s="117"/>
    </row>
    <row r="115" spans="10:16">
      <c r="J115" s="115"/>
      <c r="K115" s="37"/>
      <c r="L115" s="37"/>
      <c r="M115" s="37"/>
      <c r="N115" s="116"/>
      <c r="O115" s="37"/>
      <c r="P115" s="117"/>
    </row>
    <row r="116" spans="10:16">
      <c r="J116" s="115"/>
      <c r="K116" s="37"/>
      <c r="L116" s="37"/>
      <c r="M116" s="37"/>
      <c r="N116" s="116"/>
      <c r="O116" s="37"/>
      <c r="P116" s="117"/>
    </row>
    <row r="117" spans="10:16">
      <c r="J117" s="115"/>
      <c r="K117" s="37"/>
      <c r="L117" s="37"/>
      <c r="M117" s="37"/>
      <c r="N117" s="116"/>
      <c r="O117" s="37"/>
      <c r="P117" s="117"/>
    </row>
    <row r="118" spans="10:16">
      <c r="J118" s="115"/>
      <c r="K118" s="37"/>
      <c r="L118" s="37"/>
      <c r="M118" s="37"/>
      <c r="N118" s="116"/>
      <c r="O118" s="37"/>
      <c r="P118" s="117"/>
    </row>
    <row r="119" spans="10:16">
      <c r="J119" s="115"/>
      <c r="K119" s="37"/>
      <c r="L119" s="37"/>
      <c r="M119" s="37"/>
      <c r="N119" s="116"/>
      <c r="O119" s="37"/>
      <c r="P119" s="117"/>
    </row>
    <row r="120" spans="10:16">
      <c r="J120" s="115"/>
      <c r="K120" s="37"/>
      <c r="L120" s="37"/>
      <c r="M120" s="37"/>
      <c r="N120" s="116"/>
      <c r="O120" s="37"/>
      <c r="P120" s="117"/>
    </row>
    <row r="121" spans="10:16">
      <c r="J121" s="115"/>
      <c r="K121" s="37"/>
      <c r="L121" s="37"/>
      <c r="M121" s="37"/>
      <c r="N121" s="116"/>
      <c r="O121" s="37"/>
      <c r="P121" s="117"/>
    </row>
    <row r="122" spans="10:16">
      <c r="J122" s="115"/>
      <c r="K122" s="37"/>
      <c r="L122" s="37"/>
      <c r="M122" s="37"/>
      <c r="N122" s="116"/>
      <c r="O122" s="37"/>
      <c r="P122" s="117"/>
    </row>
    <row r="123" spans="10:16">
      <c r="J123" s="115"/>
      <c r="K123" s="37"/>
      <c r="L123" s="37"/>
      <c r="M123" s="37"/>
      <c r="N123" s="116"/>
      <c r="O123" s="37"/>
      <c r="P123" s="117"/>
    </row>
    <row r="124" spans="10:16">
      <c r="J124" s="115"/>
      <c r="K124" s="37"/>
      <c r="L124" s="37"/>
      <c r="M124" s="37"/>
      <c r="N124" s="116"/>
      <c r="O124" s="37"/>
      <c r="P124" s="117"/>
    </row>
    <row r="125" spans="10:16">
      <c r="J125" s="115"/>
      <c r="K125" s="37"/>
      <c r="L125" s="37"/>
      <c r="M125" s="37"/>
      <c r="N125" s="116"/>
      <c r="O125" s="37"/>
      <c r="P125" s="117"/>
    </row>
    <row r="126" spans="10:16">
      <c r="J126" s="115"/>
      <c r="K126" s="37"/>
      <c r="L126" s="37"/>
      <c r="M126" s="37"/>
      <c r="N126" s="116"/>
      <c r="O126" s="37"/>
      <c r="P126" s="117"/>
    </row>
    <row r="127" spans="10:16">
      <c r="J127" s="115"/>
      <c r="K127" s="37"/>
      <c r="L127" s="37"/>
      <c r="M127" s="37"/>
      <c r="N127" s="116"/>
      <c r="O127" s="37"/>
      <c r="P127" s="117"/>
    </row>
    <row r="128" spans="10:16">
      <c r="J128" s="115"/>
      <c r="K128" s="37"/>
      <c r="L128" s="37"/>
      <c r="M128" s="37"/>
      <c r="N128" s="116"/>
      <c r="O128" s="37"/>
      <c r="P128" s="117"/>
    </row>
    <row r="129" spans="10:16">
      <c r="J129" s="115"/>
      <c r="K129" s="37"/>
      <c r="L129" s="37"/>
      <c r="M129" s="37"/>
      <c r="N129" s="116"/>
      <c r="O129" s="37"/>
      <c r="P129" s="117"/>
    </row>
    <row r="130" spans="10:16">
      <c r="J130" s="115"/>
      <c r="K130" s="37"/>
      <c r="L130" s="37"/>
      <c r="M130" s="37"/>
      <c r="N130" s="116"/>
      <c r="O130" s="37"/>
      <c r="P130" s="117"/>
    </row>
    <row r="131" spans="10:16">
      <c r="J131" s="115"/>
      <c r="K131" s="37"/>
      <c r="L131" s="37"/>
      <c r="M131" s="37"/>
      <c r="N131" s="116"/>
      <c r="O131" s="37"/>
      <c r="P131" s="117"/>
    </row>
    <row r="132" spans="10:16">
      <c r="J132" s="115"/>
      <c r="K132" s="37"/>
      <c r="L132" s="37"/>
      <c r="M132" s="37"/>
      <c r="N132" s="116"/>
      <c r="O132" s="37"/>
      <c r="P132" s="117"/>
    </row>
    <row r="133" spans="10:16">
      <c r="J133" s="115"/>
      <c r="K133" s="37"/>
      <c r="L133" s="37"/>
      <c r="M133" s="37"/>
      <c r="N133" s="116"/>
      <c r="O133" s="37"/>
      <c r="P133" s="117"/>
    </row>
    <row r="134" spans="10:16">
      <c r="J134" s="115"/>
      <c r="K134" s="37"/>
      <c r="L134" s="37"/>
      <c r="M134" s="37"/>
      <c r="N134" s="116"/>
      <c r="O134" s="37"/>
      <c r="P134" s="117"/>
    </row>
    <row r="135" spans="10:16">
      <c r="J135" s="115"/>
      <c r="K135" s="37"/>
      <c r="L135" s="37"/>
      <c r="M135" s="37"/>
      <c r="N135" s="116"/>
      <c r="O135" s="37"/>
      <c r="P135" s="117"/>
    </row>
    <row r="136" spans="10:16">
      <c r="J136" s="115"/>
      <c r="K136" s="37"/>
      <c r="L136" s="37"/>
      <c r="M136" s="37"/>
      <c r="N136" s="116"/>
      <c r="O136" s="37"/>
      <c r="P136" s="117"/>
    </row>
    <row r="137" spans="10:16">
      <c r="J137" s="115"/>
      <c r="K137" s="37"/>
      <c r="L137" s="37"/>
      <c r="M137" s="37"/>
      <c r="N137" s="116"/>
      <c r="O137" s="37"/>
      <c r="P137" s="117"/>
    </row>
    <row r="138" spans="10:16">
      <c r="J138" s="115"/>
      <c r="K138" s="37"/>
      <c r="L138" s="37"/>
      <c r="M138" s="37"/>
      <c r="N138" s="116"/>
      <c r="O138" s="37"/>
      <c r="P138" s="117"/>
    </row>
    <row r="139" spans="10:16">
      <c r="J139" s="115"/>
      <c r="K139" s="37"/>
      <c r="L139" s="37"/>
      <c r="M139" s="37"/>
      <c r="N139" s="116"/>
      <c r="O139" s="37"/>
      <c r="P139" s="117"/>
    </row>
    <row r="140" spans="10:16">
      <c r="J140" s="115"/>
      <c r="K140" s="37"/>
      <c r="L140" s="37"/>
      <c r="M140" s="37"/>
      <c r="N140" s="116"/>
      <c r="O140" s="37"/>
      <c r="P140" s="117"/>
    </row>
    <row r="141" spans="10:16">
      <c r="J141" s="115"/>
      <c r="K141" s="37"/>
      <c r="L141" s="37"/>
      <c r="M141" s="37"/>
      <c r="N141" s="116"/>
      <c r="O141" s="37"/>
      <c r="P141" s="117"/>
    </row>
    <row r="142" spans="10:16">
      <c r="J142" s="115"/>
      <c r="K142" s="37"/>
      <c r="L142" s="37"/>
      <c r="M142" s="37"/>
      <c r="N142" s="116"/>
      <c r="O142" s="37"/>
      <c r="P142" s="117"/>
    </row>
    <row r="143" spans="10:16">
      <c r="J143" s="115"/>
      <c r="K143" s="37"/>
      <c r="L143" s="37"/>
      <c r="M143" s="37"/>
      <c r="N143" s="116"/>
      <c r="O143" s="37"/>
      <c r="P143" s="117"/>
    </row>
    <row r="144" spans="10:16">
      <c r="J144" s="115"/>
      <c r="K144" s="37"/>
      <c r="L144" s="37"/>
      <c r="M144" s="37"/>
      <c r="N144" s="116"/>
      <c r="O144" s="37"/>
      <c r="P144" s="117"/>
    </row>
    <row r="145" spans="10:16">
      <c r="J145" s="115"/>
      <c r="K145" s="37"/>
      <c r="L145" s="37"/>
      <c r="M145" s="37"/>
      <c r="N145" s="116"/>
      <c r="O145" s="37"/>
      <c r="P145" s="117"/>
    </row>
    <row r="146" spans="10:16">
      <c r="J146" s="115"/>
      <c r="K146" s="37"/>
      <c r="L146" s="37"/>
      <c r="M146" s="37"/>
      <c r="N146" s="116"/>
      <c r="O146" s="37"/>
      <c r="P146" s="117"/>
    </row>
    <row r="147" spans="10:16">
      <c r="J147" s="115"/>
      <c r="K147" s="37"/>
      <c r="L147" s="37"/>
      <c r="M147" s="37"/>
      <c r="N147" s="116"/>
      <c r="O147" s="37"/>
      <c r="P147" s="117"/>
    </row>
    <row r="148" spans="10:16">
      <c r="J148" s="115"/>
      <c r="K148" s="37"/>
      <c r="L148" s="37"/>
      <c r="M148" s="37"/>
      <c r="N148" s="116"/>
      <c r="O148" s="37"/>
      <c r="P148" s="117"/>
    </row>
    <row r="149" spans="10:16">
      <c r="J149" s="115"/>
      <c r="K149" s="37"/>
      <c r="L149" s="37"/>
      <c r="M149" s="37"/>
      <c r="N149" s="116"/>
      <c r="O149" s="37"/>
      <c r="P149" s="117"/>
    </row>
    <row r="150" spans="10:16">
      <c r="J150" s="115"/>
      <c r="K150" s="37"/>
      <c r="L150" s="37"/>
      <c r="M150" s="37"/>
      <c r="N150" s="116"/>
      <c r="O150" s="37"/>
      <c r="P150" s="117"/>
    </row>
    <row r="151" spans="10:16">
      <c r="J151" s="115"/>
      <c r="K151" s="37"/>
      <c r="L151" s="37"/>
      <c r="M151" s="37"/>
      <c r="N151" s="116"/>
      <c r="O151" s="37"/>
      <c r="P151" s="117"/>
    </row>
    <row r="152" spans="10:16">
      <c r="J152" s="115"/>
      <c r="K152" s="37"/>
      <c r="L152" s="37"/>
      <c r="M152" s="37"/>
      <c r="N152" s="116"/>
      <c r="O152" s="37"/>
      <c r="P152" s="117"/>
    </row>
    <row r="153" spans="10:16">
      <c r="J153" s="115"/>
      <c r="K153" s="37"/>
      <c r="L153" s="37"/>
      <c r="M153" s="37"/>
      <c r="N153" s="116"/>
      <c r="O153" s="37"/>
      <c r="P153" s="117"/>
    </row>
    <row r="154" spans="10:16">
      <c r="J154" s="115"/>
      <c r="K154" s="37"/>
      <c r="L154" s="37"/>
      <c r="M154" s="37"/>
      <c r="N154" s="116"/>
      <c r="O154" s="37"/>
      <c r="P154" s="117"/>
    </row>
    <row r="155" spans="10:16">
      <c r="J155" s="115"/>
      <c r="K155" s="37"/>
      <c r="L155" s="37"/>
      <c r="M155" s="37"/>
      <c r="N155" s="116"/>
      <c r="O155" s="37"/>
      <c r="P155" s="117"/>
    </row>
    <row r="156" spans="10:16">
      <c r="J156" s="115"/>
      <c r="K156" s="37"/>
      <c r="L156" s="37"/>
      <c r="M156" s="37"/>
      <c r="N156" s="116"/>
      <c r="O156" s="37"/>
      <c r="P156" s="117"/>
    </row>
    <row r="157" spans="10:16">
      <c r="J157" s="115"/>
      <c r="K157" s="37"/>
      <c r="L157" s="37"/>
      <c r="M157" s="37"/>
      <c r="N157" s="116"/>
      <c r="O157" s="37"/>
      <c r="P157" s="117"/>
    </row>
    <row r="158" spans="10:16">
      <c r="J158" s="115"/>
      <c r="K158" s="37"/>
      <c r="L158" s="37"/>
      <c r="M158" s="37"/>
      <c r="N158" s="116"/>
      <c r="O158" s="37"/>
      <c r="P158" s="117"/>
    </row>
    <row r="159" spans="10:16">
      <c r="J159" s="115"/>
      <c r="K159" s="37"/>
      <c r="L159" s="37"/>
      <c r="M159" s="37"/>
      <c r="N159" s="116"/>
      <c r="O159" s="37"/>
      <c r="P159" s="117"/>
    </row>
    <row r="160" spans="10:16">
      <c r="J160" s="115"/>
      <c r="K160" s="37"/>
      <c r="L160" s="37"/>
      <c r="M160" s="37"/>
      <c r="N160" s="116"/>
      <c r="O160" s="37"/>
      <c r="P160" s="117"/>
    </row>
    <row r="161" spans="10:16">
      <c r="J161" s="115"/>
      <c r="K161" s="37"/>
      <c r="L161" s="37"/>
      <c r="M161" s="37"/>
      <c r="N161" s="116"/>
      <c r="O161" s="37"/>
      <c r="P161" s="117"/>
    </row>
    <row r="162" spans="10:16">
      <c r="J162" s="115"/>
      <c r="K162" s="37"/>
      <c r="L162" s="37"/>
      <c r="M162" s="37"/>
      <c r="N162" s="116"/>
      <c r="O162" s="37"/>
      <c r="P162" s="117"/>
    </row>
    <row r="163" spans="10:16">
      <c r="J163" s="115"/>
      <c r="K163" s="37"/>
      <c r="L163" s="37"/>
      <c r="M163" s="37"/>
      <c r="N163" s="116"/>
      <c r="O163" s="37"/>
      <c r="P163" s="117"/>
    </row>
    <row r="164" spans="10:16">
      <c r="J164" s="115"/>
      <c r="K164" s="37"/>
      <c r="L164" s="37"/>
      <c r="M164" s="37"/>
      <c r="N164" s="116"/>
      <c r="O164" s="37"/>
      <c r="P164" s="117"/>
    </row>
    <row r="165" spans="10:16">
      <c r="J165" s="115"/>
      <c r="K165" s="37"/>
      <c r="L165" s="37"/>
      <c r="M165" s="37"/>
      <c r="N165" s="116"/>
      <c r="O165" s="37"/>
      <c r="P165" s="117"/>
    </row>
    <row r="166" spans="10:16">
      <c r="J166" s="115"/>
      <c r="K166" s="37"/>
      <c r="L166" s="37"/>
      <c r="M166" s="37"/>
      <c r="N166" s="116"/>
      <c r="O166" s="37"/>
      <c r="P166" s="117"/>
    </row>
    <row r="167" spans="10:16">
      <c r="J167" s="115"/>
      <c r="K167" s="37"/>
      <c r="L167" s="37"/>
      <c r="M167" s="37"/>
      <c r="N167" s="116"/>
      <c r="O167" s="37"/>
      <c r="P167" s="117"/>
    </row>
    <row r="168" spans="10:16">
      <c r="J168" s="115"/>
      <c r="K168" s="37"/>
      <c r="L168" s="37"/>
      <c r="M168" s="37"/>
      <c r="N168" s="116"/>
      <c r="O168" s="37"/>
      <c r="P168" s="117"/>
    </row>
    <row r="169" spans="10:16">
      <c r="J169" s="115"/>
      <c r="K169" s="37"/>
      <c r="L169" s="37"/>
      <c r="M169" s="37"/>
      <c r="N169" s="116"/>
      <c r="O169" s="37"/>
      <c r="P169" s="117"/>
    </row>
    <row r="170" spans="10:16">
      <c r="J170" s="115"/>
      <c r="K170" s="37"/>
      <c r="L170" s="37"/>
      <c r="M170" s="37"/>
      <c r="N170" s="116"/>
      <c r="O170" s="37"/>
      <c r="P170" s="117"/>
    </row>
    <row r="171" spans="10:16">
      <c r="J171" s="115"/>
      <c r="K171" s="37"/>
      <c r="L171" s="37"/>
      <c r="M171" s="37"/>
      <c r="N171" s="116"/>
      <c r="O171" s="37"/>
      <c r="P171" s="117"/>
    </row>
    <row r="172" spans="10:16">
      <c r="J172" s="115"/>
      <c r="K172" s="37"/>
      <c r="L172" s="37"/>
      <c r="M172" s="37"/>
      <c r="N172" s="116"/>
      <c r="O172" s="37"/>
      <c r="P172" s="117"/>
    </row>
    <row r="173" spans="10:16">
      <c r="J173" s="115"/>
      <c r="K173" s="37"/>
      <c r="L173" s="37"/>
      <c r="M173" s="37"/>
      <c r="N173" s="116"/>
      <c r="O173" s="37"/>
      <c r="P173" s="117"/>
    </row>
    <row r="174" spans="10:16">
      <c r="J174" s="115"/>
      <c r="K174" s="37"/>
      <c r="L174" s="37"/>
      <c r="M174" s="37"/>
      <c r="N174" s="116"/>
      <c r="O174" s="37"/>
      <c r="P174" s="117"/>
    </row>
    <row r="175" spans="10:16">
      <c r="J175" s="115"/>
      <c r="K175" s="37"/>
      <c r="L175" s="37"/>
      <c r="M175" s="37"/>
      <c r="N175" s="116"/>
      <c r="O175" s="37"/>
      <c r="P175" s="117"/>
    </row>
    <row r="176" spans="10:16">
      <c r="J176" s="115"/>
      <c r="K176" s="37"/>
      <c r="L176" s="37"/>
      <c r="M176" s="37"/>
      <c r="N176" s="116"/>
      <c r="O176" s="37"/>
      <c r="P176" s="117"/>
    </row>
    <row r="177" spans="10:16">
      <c r="J177" s="115"/>
      <c r="K177" s="37"/>
      <c r="L177" s="37"/>
      <c r="M177" s="37"/>
      <c r="N177" s="116"/>
      <c r="O177" s="37"/>
      <c r="P177" s="117"/>
    </row>
    <row r="178" spans="10:16">
      <c r="J178" s="115"/>
      <c r="K178" s="37"/>
      <c r="L178" s="37"/>
      <c r="M178" s="37"/>
      <c r="N178" s="116"/>
      <c r="O178" s="37"/>
      <c r="P178" s="117"/>
    </row>
    <row r="179" spans="10:16">
      <c r="J179" s="115"/>
      <c r="K179" s="37"/>
      <c r="L179" s="37"/>
      <c r="M179" s="37"/>
      <c r="N179" s="116"/>
      <c r="O179" s="37"/>
      <c r="P179" s="117"/>
    </row>
    <row r="180" spans="10:16">
      <c r="J180" s="115"/>
      <c r="K180" s="37"/>
      <c r="L180" s="37"/>
      <c r="M180" s="37"/>
      <c r="N180" s="116"/>
      <c r="O180" s="37"/>
      <c r="P180" s="117"/>
    </row>
    <row r="181" spans="10:16">
      <c r="J181" s="115"/>
      <c r="K181" s="37"/>
      <c r="L181" s="37"/>
      <c r="M181" s="37"/>
      <c r="N181" s="116"/>
      <c r="O181" s="37"/>
      <c r="P181" s="117"/>
    </row>
    <row r="182" spans="10:16">
      <c r="J182" s="115"/>
      <c r="K182" s="37"/>
      <c r="L182" s="37"/>
      <c r="M182" s="37"/>
      <c r="N182" s="116"/>
      <c r="O182" s="37"/>
      <c r="P182" s="117"/>
    </row>
    <row r="183" spans="10:16">
      <c r="J183" s="115"/>
      <c r="K183" s="37"/>
      <c r="L183" s="37"/>
      <c r="M183" s="37"/>
      <c r="N183" s="116"/>
      <c r="O183" s="37"/>
      <c r="P183" s="117"/>
    </row>
    <row r="184" spans="10:16">
      <c r="J184" s="115"/>
      <c r="K184" s="37"/>
      <c r="L184" s="37"/>
      <c r="M184" s="37"/>
      <c r="N184" s="116"/>
      <c r="O184" s="37"/>
      <c r="P184" s="117"/>
    </row>
    <row r="185" spans="10:16">
      <c r="J185" s="115"/>
      <c r="K185" s="37"/>
      <c r="L185" s="37"/>
      <c r="M185" s="37"/>
      <c r="N185" s="116"/>
      <c r="O185" s="37"/>
      <c r="P185" s="117"/>
    </row>
    <row r="186" spans="10:16">
      <c r="J186" s="115"/>
      <c r="K186" s="37"/>
      <c r="L186" s="37"/>
      <c r="M186" s="37"/>
      <c r="N186" s="116"/>
      <c r="O186" s="37"/>
      <c r="P186" s="117"/>
    </row>
    <row r="187" spans="10:16">
      <c r="J187" s="115"/>
      <c r="K187" s="37"/>
      <c r="L187" s="37"/>
      <c r="M187" s="37"/>
      <c r="N187" s="116"/>
      <c r="O187" s="37"/>
      <c r="P187" s="117"/>
    </row>
    <row r="188" spans="10:16">
      <c r="J188" s="115"/>
      <c r="K188" s="37"/>
      <c r="L188" s="37"/>
      <c r="M188" s="37"/>
      <c r="N188" s="116"/>
      <c r="O188" s="37"/>
      <c r="P188" s="117"/>
    </row>
    <row r="189" spans="10:16">
      <c r="J189" s="115"/>
      <c r="K189" s="37"/>
      <c r="L189" s="37"/>
      <c r="M189" s="37"/>
      <c r="N189" s="116"/>
      <c r="O189" s="37"/>
      <c r="P189" s="117"/>
    </row>
    <row r="190" spans="10:16">
      <c r="J190" s="115"/>
      <c r="K190" s="37"/>
      <c r="L190" s="37"/>
      <c r="M190" s="37"/>
      <c r="N190" s="116"/>
      <c r="O190" s="37"/>
      <c r="P190" s="117"/>
    </row>
    <row r="191" spans="10:16">
      <c r="J191" s="115"/>
      <c r="K191" s="37"/>
      <c r="L191" s="37"/>
      <c r="M191" s="37"/>
      <c r="N191" s="116"/>
      <c r="O191" s="37"/>
      <c r="P191" s="117"/>
    </row>
    <row r="192" spans="10:16">
      <c r="J192" s="115"/>
      <c r="K192" s="37"/>
      <c r="L192" s="37"/>
      <c r="M192" s="37"/>
      <c r="N192" s="116"/>
      <c r="O192" s="37"/>
      <c r="P192" s="117"/>
    </row>
    <row r="193" spans="10:15">
      <c r="J193" s="115"/>
      <c r="M193" s="37"/>
      <c r="N193" s="116"/>
      <c r="O193" s="37"/>
    </row>
    <row r="194" spans="10:15">
      <c r="J194" s="115"/>
      <c r="O194" s="118"/>
    </row>
    <row r="195" spans="10:15">
      <c r="J195" s="115"/>
      <c r="O195" s="118"/>
    </row>
    <row r="196" spans="10:15">
      <c r="J196" s="115"/>
      <c r="O196" s="118"/>
    </row>
    <row r="197" spans="10:15">
      <c r="J197" s="115"/>
      <c r="O197" s="118"/>
    </row>
    <row r="198" spans="10:15">
      <c r="J198" s="115"/>
      <c r="O198" s="118"/>
    </row>
    <row r="199" spans="10:15">
      <c r="J199" s="115"/>
      <c r="O199" s="118"/>
    </row>
    <row r="200" spans="10:15">
      <c r="J200" s="115"/>
      <c r="O200" s="118"/>
    </row>
    <row r="201" spans="10:15">
      <c r="J201" s="115"/>
      <c r="O201" s="118"/>
    </row>
    <row r="202" spans="10:15">
      <c r="J202" s="115"/>
      <c r="O202" s="118"/>
    </row>
    <row r="203" spans="10:15">
      <c r="J203" s="115"/>
      <c r="O203" s="118"/>
    </row>
    <row r="204" spans="10:15">
      <c r="J204" s="115"/>
      <c r="O204" s="118"/>
    </row>
    <row r="205" spans="10:15">
      <c r="J205" s="115"/>
      <c r="O205" s="118"/>
    </row>
    <row r="206" spans="10:15">
      <c r="J206" s="115"/>
      <c r="O206" s="118"/>
    </row>
    <row r="207" spans="10:15">
      <c r="J207" s="115"/>
      <c r="O207" s="118"/>
    </row>
    <row r="208" spans="10:15">
      <c r="J208" s="115"/>
      <c r="O208" s="118"/>
    </row>
    <row r="209" spans="10:15">
      <c r="J209" s="115"/>
      <c r="O209" s="118"/>
    </row>
    <row r="210" spans="10:15">
      <c r="J210" s="115"/>
      <c r="O210" s="118"/>
    </row>
    <row r="211" spans="10:15">
      <c r="J211" s="115"/>
      <c r="O211" s="118"/>
    </row>
    <row r="212" spans="10:15">
      <c r="J212" s="115"/>
      <c r="O212" s="118"/>
    </row>
    <row r="213" spans="10:15">
      <c r="J213" s="115"/>
      <c r="O213" s="118"/>
    </row>
    <row r="214" spans="10:15">
      <c r="J214" s="115"/>
      <c r="O214" s="118"/>
    </row>
    <row r="215" spans="10:15">
      <c r="J215" s="115"/>
      <c r="O215" s="118"/>
    </row>
    <row r="216" spans="10:15">
      <c r="J216" s="115"/>
      <c r="O216" s="118"/>
    </row>
    <row r="217" spans="10:15">
      <c r="J217" s="115"/>
      <c r="O217" s="118"/>
    </row>
    <row r="218" spans="10:15">
      <c r="J218" s="115"/>
      <c r="O218" s="118"/>
    </row>
    <row r="219" spans="10:15">
      <c r="J219" s="115"/>
      <c r="O219" s="118"/>
    </row>
    <row r="220" spans="10:15">
      <c r="J220" s="115"/>
      <c r="O220" s="118"/>
    </row>
    <row r="221" spans="10:15">
      <c r="J221" s="115"/>
      <c r="O221" s="118"/>
    </row>
    <row r="222" spans="10:15">
      <c r="O222" s="118"/>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2"/>
  <sheetViews>
    <sheetView zoomScale="80" zoomScaleNormal="80" workbookViewId="0">
      <selection activeCell="H1" sqref="H1"/>
    </sheetView>
  </sheetViews>
  <sheetFormatPr defaultRowHeight="15"/>
  <cols>
    <col min="3" max="4" width="4.42578125" customWidth="1"/>
    <col min="5" max="5" width="18.140625" customWidth="1"/>
    <col min="6" max="6" width="8.42578125" customWidth="1"/>
    <col min="7" max="7" width="32.140625" customWidth="1"/>
    <col min="8" max="9" width="5.140625" customWidth="1"/>
    <col min="10" max="10" width="7.28515625" customWidth="1"/>
    <col min="14" max="14" width="10.85546875" customWidth="1"/>
  </cols>
  <sheetData>
    <row r="1" spans="1:47" ht="18">
      <c r="A1" s="121" t="s">
        <v>190</v>
      </c>
      <c r="B1" s="114" t="s">
        <v>189</v>
      </c>
      <c r="J1" s="57" t="s">
        <v>133</v>
      </c>
      <c r="K1" s="56" t="s">
        <v>132</v>
      </c>
      <c r="L1" s="56" t="s">
        <v>127</v>
      </c>
      <c r="M1" s="56" t="s">
        <v>131</v>
      </c>
      <c r="N1" s="192" t="s">
        <v>130</v>
      </c>
      <c r="O1" s="193" t="s">
        <v>122</v>
      </c>
      <c r="P1" s="193" t="s">
        <v>121</v>
      </c>
      <c r="Q1" s="55" t="s">
        <v>123</v>
      </c>
      <c r="S1" s="192" t="s">
        <v>125</v>
      </c>
      <c r="T1" s="193" t="s">
        <v>122</v>
      </c>
      <c r="U1" s="193" t="s">
        <v>121</v>
      </c>
      <c r="V1" s="55" t="s">
        <v>123</v>
      </c>
      <c r="Y1" s="47" t="s">
        <v>120</v>
      </c>
      <c r="Z1" s="47" t="s">
        <v>119</v>
      </c>
      <c r="AA1" s="47" t="s">
        <v>118</v>
      </c>
      <c r="AB1" s="47" t="s">
        <v>117</v>
      </c>
      <c r="AC1" s="47" t="s">
        <v>116</v>
      </c>
      <c r="AD1" s="47" t="s">
        <v>115</v>
      </c>
      <c r="AE1" s="47" t="s">
        <v>114</v>
      </c>
      <c r="AF1" s="47" t="s">
        <v>113</v>
      </c>
      <c r="AG1" s="47" t="s">
        <v>112</v>
      </c>
      <c r="AH1" s="47" t="s">
        <v>111</v>
      </c>
      <c r="AI1" s="47" t="s">
        <v>110</v>
      </c>
      <c r="AJ1" s="47" t="s">
        <v>109</v>
      </c>
      <c r="AK1" s="47" t="s">
        <v>108</v>
      </c>
      <c r="AL1" s="47" t="s">
        <v>107</v>
      </c>
      <c r="AM1" s="47" t="s">
        <v>106</v>
      </c>
      <c r="AN1" s="47" t="s">
        <v>105</v>
      </c>
      <c r="AO1" s="47" t="s">
        <v>104</v>
      </c>
      <c r="AP1" s="47" t="s">
        <v>103</v>
      </c>
      <c r="AQ1" s="47" t="s">
        <v>102</v>
      </c>
      <c r="AR1" s="47" t="s">
        <v>101</v>
      </c>
      <c r="AS1" s="47" t="s">
        <v>100</v>
      </c>
      <c r="AT1" s="47" t="s">
        <v>99</v>
      </c>
      <c r="AU1" s="47" t="s">
        <v>98</v>
      </c>
    </row>
    <row r="2" spans="1:47">
      <c r="A2" s="115">
        <v>0</v>
      </c>
      <c r="B2" s="120"/>
      <c r="E2" s="227" t="s">
        <v>161</v>
      </c>
      <c r="F2" s="228" t="s">
        <v>139</v>
      </c>
      <c r="G2" s="229" t="s">
        <v>140</v>
      </c>
      <c r="J2" s="51">
        <v>0</v>
      </c>
      <c r="K2" s="52"/>
      <c r="L2" s="52"/>
      <c r="M2" s="53">
        <f ca="1">DEVSQ(L3:L52)</f>
        <v>350.27908409592044</v>
      </c>
      <c r="N2" s="194"/>
      <c r="O2" s="195"/>
      <c r="P2" s="195"/>
      <c r="Q2" s="50"/>
      <c r="S2" s="194"/>
      <c r="T2" s="195"/>
      <c r="U2" s="195"/>
      <c r="V2" s="50"/>
      <c r="Y2" s="45"/>
      <c r="Z2" s="45"/>
      <c r="AA2" s="45"/>
      <c r="AB2" s="45"/>
      <c r="AC2" s="45"/>
      <c r="AD2" s="45"/>
      <c r="AE2" s="45"/>
      <c r="AF2" s="45"/>
      <c r="AG2" s="45"/>
      <c r="AH2" s="45"/>
      <c r="AI2" s="45"/>
      <c r="AJ2" s="45"/>
      <c r="AK2" s="45"/>
      <c r="AL2" s="45"/>
      <c r="AM2" s="45"/>
      <c r="AN2" s="45"/>
      <c r="AO2" s="45"/>
      <c r="AP2" s="45"/>
      <c r="AQ2" s="45"/>
      <c r="AR2" s="45"/>
      <c r="AS2" s="45"/>
      <c r="AT2" s="45"/>
      <c r="AU2" s="45"/>
    </row>
    <row r="3" spans="1:47">
      <c r="A3" s="115">
        <v>1</v>
      </c>
      <c r="B3" s="117">
        <v>0</v>
      </c>
      <c r="E3" s="230" t="s">
        <v>163</v>
      </c>
      <c r="F3" s="231">
        <f ca="1">AVERAGE(B4:B52)</f>
        <v>1.3146541414516424E-2</v>
      </c>
      <c r="G3" s="232"/>
      <c r="J3" s="38">
        <v>1</v>
      </c>
      <c r="K3" s="37">
        <f>B3</f>
        <v>0</v>
      </c>
      <c r="L3" s="35">
        <f ca="1">K3-AVERAGE($K$4:$K$51)</f>
        <v>1.2504108351169229E-3</v>
      </c>
      <c r="M3" s="48">
        <f ca="1">SUMPRODUCT($L$3:INDEX($L$3:$L$52,ROWS($L4:L$52)),$L4:L$52)</f>
        <v>0.43979584309781972</v>
      </c>
      <c r="N3" s="196">
        <f ca="1">M3/$M$2</f>
        <v>1.2555583906271321E-3</v>
      </c>
      <c r="O3" s="197">
        <f t="shared" ref="O3:O22" ca="1" si="0">-1.96*Q3</f>
        <v>-0.28290207787629984</v>
      </c>
      <c r="P3" s="197">
        <f t="shared" ref="P3:P22" ca="1" si="1">1.96*Q3</f>
        <v>0.28290207787629984</v>
      </c>
      <c r="Q3" s="34">
        <f ca="1">SQRT((1/COUNT($L$4:$L$51))*(1+2*SUMSQ($N$3:N3)))</f>
        <v>0.14433779483484685</v>
      </c>
      <c r="S3" s="198">
        <f ca="1">AA3</f>
        <v>1.2555583906271321E-3</v>
      </c>
      <c r="T3" s="198">
        <f t="shared" ref="T3:T22" ca="1" si="2">-1.96*V3</f>
        <v>-0.28290163190291667</v>
      </c>
      <c r="U3" s="198">
        <f t="shared" ref="U3:U22" ca="1" si="3">1.96*V3</f>
        <v>0.28290163190291667</v>
      </c>
      <c r="V3" s="40">
        <f ca="1">1/SQRT(COUNT($L$4:$L$51))</f>
        <v>0.14433756729740646</v>
      </c>
      <c r="Y3" s="45">
        <v>1</v>
      </c>
      <c r="Z3" s="42">
        <f ca="1">N3</f>
        <v>1.2555583906271321E-3</v>
      </c>
      <c r="AA3" s="34">
        <f ca="1">AB3</f>
        <v>1.2555583906271321E-3</v>
      </c>
      <c r="AB3" s="39">
        <f ca="1">Z3</f>
        <v>1.2555583906271321E-3</v>
      </c>
      <c r="AC3" s="34"/>
      <c r="AD3" s="34"/>
      <c r="AE3" s="34"/>
      <c r="AF3" s="34"/>
      <c r="AG3" s="41"/>
      <c r="AH3" s="34"/>
      <c r="AI3" s="34"/>
      <c r="AJ3" s="34"/>
      <c r="AK3" s="34"/>
      <c r="AL3" s="34"/>
      <c r="AM3" s="34"/>
      <c r="AN3" s="34"/>
      <c r="AO3" s="34"/>
      <c r="AP3" s="34"/>
      <c r="AQ3" s="34"/>
      <c r="AR3" s="34"/>
      <c r="AS3" s="44"/>
      <c r="AT3" s="44"/>
      <c r="AU3" s="44"/>
    </row>
    <row r="4" spans="1:47" ht="18">
      <c r="A4" s="115">
        <v>2</v>
      </c>
      <c r="B4" s="117">
        <f ca="1">'5. Model'!P4</f>
        <v>7.1638362386749215</v>
      </c>
      <c r="E4" s="233" t="s">
        <v>165</v>
      </c>
      <c r="F4" s="234">
        <f ca="1">STDEV(B4:B52)/SQRT(COUNT(B4:B52))</f>
        <v>0.38591204956625197</v>
      </c>
      <c r="G4" s="232"/>
      <c r="J4" s="38">
        <v>2</v>
      </c>
      <c r="K4" s="37">
        <f t="shared" ref="K4:K51" ca="1" si="4">B4</f>
        <v>7.1638362386749215</v>
      </c>
      <c r="L4" s="35">
        <f t="shared" ref="L4:L51" ca="1" si="5">K4-AVERAGE($K$4:$K$51)</f>
        <v>7.1650866495100383</v>
      </c>
      <c r="M4" s="48">
        <f ca="1">SUMPRODUCT($L$3:INDEX($L$3:$L$52,ROWS($L5:L$52)),$L5:L$52)</f>
        <v>-27.481753966126362</v>
      </c>
      <c r="N4" s="196">
        <f t="shared" ref="N4:N22" ca="1" si="6">M4/$M$2</f>
        <v>-7.8456736967488352E-2</v>
      </c>
      <c r="O4" s="197">
        <f t="shared" ca="1" si="0"/>
        <v>-0.28463813792742781</v>
      </c>
      <c r="P4" s="197">
        <f t="shared" ca="1" si="1"/>
        <v>0.28463813792742781</v>
      </c>
      <c r="Q4" s="34">
        <f ca="1">SQRT((1/COUNT($L$4:$L$51))*(1+2*SUMSQ($N$3:N4)))</f>
        <v>0.14522353975889174</v>
      </c>
      <c r="S4" s="198">
        <f t="shared" ref="S4:S22" ca="1" si="7">AA4</f>
        <v>-7.8458437078349194E-2</v>
      </c>
      <c r="T4" s="198">
        <f t="shared" ca="1" si="2"/>
        <v>-0.28290163190291667</v>
      </c>
      <c r="U4" s="198">
        <f t="shared" ca="1" si="3"/>
        <v>0.28290163190291667</v>
      </c>
      <c r="V4" s="40">
        <f t="shared" ref="V4:V22" ca="1" si="8">1/SQRT(COUNT($L$4:$L$51))</f>
        <v>0.14433756729740646</v>
      </c>
      <c r="Y4" s="45">
        <v>2</v>
      </c>
      <c r="Z4" s="42">
        <f t="shared" ref="Z4:Z22" ca="1" si="9">N4</f>
        <v>-7.8456736967488352E-2</v>
      </c>
      <c r="AA4" s="34">
        <f ca="1">AC4</f>
        <v>-7.8458437078349194E-2</v>
      </c>
      <c r="AB4" s="34">
        <f ca="1">AB3-(AB3*AC4)</f>
        <v>1.3540675396163443E-3</v>
      </c>
      <c r="AC4" s="39">
        <f ca="1">(Z4-(AB3*Z3))/(1-(AB3*Z3))</f>
        <v>-7.8458437078349194E-2</v>
      </c>
      <c r="AD4" s="34"/>
      <c r="AE4" s="34"/>
      <c r="AF4" s="34"/>
      <c r="AG4" s="41"/>
      <c r="AH4" s="34"/>
      <c r="AI4" s="34"/>
      <c r="AJ4" s="34"/>
      <c r="AK4" s="34"/>
      <c r="AL4" s="34"/>
      <c r="AM4" s="34"/>
      <c r="AN4" s="34"/>
      <c r="AO4" s="34"/>
      <c r="AP4" s="34"/>
      <c r="AQ4" s="34"/>
      <c r="AR4" s="34"/>
      <c r="AS4" s="44"/>
      <c r="AT4" s="44"/>
      <c r="AU4" s="44"/>
    </row>
    <row r="5" spans="1:47">
      <c r="A5" s="115">
        <v>3</v>
      </c>
      <c r="B5" s="117">
        <f ca="1">'5. Model'!P5</f>
        <v>5.5142624245416743</v>
      </c>
      <c r="E5" s="233" t="s">
        <v>166</v>
      </c>
      <c r="F5" s="231">
        <f ca="1">1.96*F4/SQRT(COUNT(B4:B52))</f>
        <v>0.10805537387855055</v>
      </c>
      <c r="G5" s="235" t="str">
        <f ca="1">IF(F3&gt;F5,"Nonzero mean, 95% confidence","Zero mean, 95% confidence")</f>
        <v>Zero mean, 95% confidence</v>
      </c>
      <c r="J5" s="38">
        <v>3</v>
      </c>
      <c r="K5" s="37">
        <f t="shared" ca="1" si="4"/>
        <v>5.5142624245416743</v>
      </c>
      <c r="L5" s="35">
        <f t="shared" ca="1" si="5"/>
        <v>5.515512835376791</v>
      </c>
      <c r="M5" s="48">
        <f ca="1">SUMPRODUCT($L$3:INDEX($L$3:$L$52,ROWS($L6:L$52)),$L6:L$52)</f>
        <v>85.113286352440753</v>
      </c>
      <c r="N5" s="196">
        <f t="shared" ca="1" si="6"/>
        <v>0.24298706436360706</v>
      </c>
      <c r="O5" s="197">
        <f t="shared" ca="1" si="0"/>
        <v>-0.30078171469585208</v>
      </c>
      <c r="P5" s="197">
        <f t="shared" ca="1" si="1"/>
        <v>0.30078171469585208</v>
      </c>
      <c r="Q5" s="34">
        <f ca="1">SQRT((1/COUNT($L$4:$L$51))*(1+2*SUMSQ($N$3:N5)))</f>
        <v>0.15346005851829189</v>
      </c>
      <c r="S5" s="198">
        <f t="shared" ca="1" si="7"/>
        <v>0.24469848954771056</v>
      </c>
      <c r="T5" s="198">
        <f t="shared" ca="1" si="2"/>
        <v>-0.28290163190291667</v>
      </c>
      <c r="U5" s="198">
        <f t="shared" ca="1" si="3"/>
        <v>0.28290163190291667</v>
      </c>
      <c r="V5" s="40">
        <f t="shared" ca="1" si="8"/>
        <v>0.14433756729740646</v>
      </c>
      <c r="Y5" s="45">
        <v>3</v>
      </c>
      <c r="Z5" s="42">
        <f t="shared" ca="1" si="9"/>
        <v>0.24298706436360706</v>
      </c>
      <c r="AA5" s="34">
        <f ca="1">AD5</f>
        <v>0.24469848954771056</v>
      </c>
      <c r="AB5" s="34">
        <f ca="1">AB4-(AC4*AD5)</f>
        <v>2.0552728584962484E-2</v>
      </c>
      <c r="AC5" s="34">
        <f ca="1">AC4-(AB4*AD5)</f>
        <v>-7.8789775360038894E-2</v>
      </c>
      <c r="AD5" s="39">
        <f ca="1">(Z5-(AB4*Z4+AC4*Z3))/(1-(AB4*Z3+AC4*Z4))</f>
        <v>0.24469848954771056</v>
      </c>
      <c r="AE5" s="34"/>
      <c r="AF5" s="34"/>
      <c r="AG5" s="41"/>
      <c r="AH5" s="34"/>
      <c r="AI5" s="34"/>
      <c r="AJ5" s="34"/>
      <c r="AK5" s="34"/>
      <c r="AL5" s="34"/>
      <c r="AM5" s="34"/>
      <c r="AN5" s="34"/>
      <c r="AO5" s="34"/>
      <c r="AP5" s="34"/>
      <c r="AQ5" s="34"/>
      <c r="AR5" s="34"/>
      <c r="AS5" s="44"/>
      <c r="AT5" s="44"/>
      <c r="AU5" s="44"/>
    </row>
    <row r="6" spans="1:47">
      <c r="A6" s="115">
        <v>4</v>
      </c>
      <c r="B6" s="117">
        <f ca="1">'5. Model'!P6</f>
        <v>1.8122497998948059</v>
      </c>
      <c r="E6" s="233" t="s">
        <v>168</v>
      </c>
      <c r="F6" s="301">
        <f ca="1">LN(VARP(B4:B52))+((2/COUNT(B4:B52))*('5. Model'!F6+'5. Model'!G6+2))</f>
        <v>2.1301747443425594</v>
      </c>
      <c r="G6" s="300"/>
      <c r="J6" s="38">
        <v>4</v>
      </c>
      <c r="K6" s="37">
        <f t="shared" ca="1" si="4"/>
        <v>1.8122497998948059</v>
      </c>
      <c r="L6" s="35">
        <f t="shared" ca="1" si="5"/>
        <v>1.813500210729923</v>
      </c>
      <c r="M6" s="48">
        <f ca="1">SUMPRODUCT($L$3:INDEX($L$3:$L$52,ROWS($L7:L$52)),$L7:L$52)</f>
        <v>-53.872187846031849</v>
      </c>
      <c r="N6" s="196">
        <f t="shared" ca="1" si="6"/>
        <v>-0.15379790085119524</v>
      </c>
      <c r="O6" s="197">
        <f t="shared" ca="1" si="0"/>
        <v>-0.30701111364899292</v>
      </c>
      <c r="P6" s="197">
        <f t="shared" ca="1" si="1"/>
        <v>0.30701111364899292</v>
      </c>
      <c r="Q6" s="34">
        <f ca="1">SQRT((1/COUNT($L$4:$L$51))*(1+2*SUMSQ($N$3:N6)))</f>
        <v>0.1566383232903025</v>
      </c>
      <c r="S6" s="198">
        <f t="shared" ca="1" si="7"/>
        <v>-0.17689687321689221</v>
      </c>
      <c r="T6" s="198">
        <f t="shared" ca="1" si="2"/>
        <v>-0.28290163190291667</v>
      </c>
      <c r="U6" s="198">
        <f t="shared" ca="1" si="3"/>
        <v>0.28290163190291667</v>
      </c>
      <c r="V6" s="40">
        <f t="shared" ca="1" si="8"/>
        <v>0.14433756729740646</v>
      </c>
      <c r="Y6" s="45">
        <v>4</v>
      </c>
      <c r="Z6" s="42">
        <f t="shared" ca="1" si="9"/>
        <v>-0.15379790085119524</v>
      </c>
      <c r="AA6" s="41">
        <f ca="1">AE6</f>
        <v>-0.17689687321689221</v>
      </c>
      <c r="AB6" s="41">
        <f ca="1">AB5-(AD5*AE6)</f>
        <v>6.3839126266848858E-2</v>
      </c>
      <c r="AC6" s="41">
        <f ca="1">AC5-(AC5*AE6)</f>
        <v>-9.2727440262691113E-2</v>
      </c>
      <c r="AD6" s="41">
        <f ca="1">AD5-(AB5*AE6)</f>
        <v>0.24833420297046588</v>
      </c>
      <c r="AE6" s="39">
        <f ca="1">(Z6-(AB5*Z5+AC5*Z4+AD5*Z3))/(1-(AB5*Z3+AC5*Z4+AD5*Z5))</f>
        <v>-0.17689687321689221</v>
      </c>
      <c r="AF6" s="34"/>
      <c r="AG6" s="41"/>
      <c r="AH6" s="34"/>
      <c r="AI6" s="34"/>
      <c r="AJ6" s="34"/>
      <c r="AK6" s="34"/>
      <c r="AL6" s="34"/>
      <c r="AM6" s="34"/>
      <c r="AN6" s="34"/>
      <c r="AO6" s="34"/>
      <c r="AP6" s="34"/>
      <c r="AQ6" s="34"/>
      <c r="AR6" s="34"/>
      <c r="AS6" s="44"/>
      <c r="AT6" s="44"/>
      <c r="AU6" s="44"/>
    </row>
    <row r="7" spans="1:47">
      <c r="A7" s="115">
        <v>5</v>
      </c>
      <c r="B7" s="117">
        <f ca="1">'5. Model'!P7</f>
        <v>-0.494026588114445</v>
      </c>
      <c r="E7" s="233" t="s">
        <v>170</v>
      </c>
      <c r="F7" s="234">
        <f ca="1">LN(VARP(B4:B52))+(LN(COUNT(B4:B52)/COUNT(B4:B52)*('5. Model'!F6+'5. Model'!G6+2)))</f>
        <v>3.353203799340001</v>
      </c>
      <c r="G7" s="232"/>
      <c r="J7" s="38">
        <v>5</v>
      </c>
      <c r="K7" s="37">
        <f t="shared" ca="1" si="4"/>
        <v>-0.494026588114445</v>
      </c>
      <c r="L7" s="35">
        <f t="shared" ca="1" si="5"/>
        <v>-0.4927761772793281</v>
      </c>
      <c r="M7" s="48">
        <f ca="1">SUMPRODUCT($L$3:INDEX($L$3:$L$52,ROWS($L8:L$52)),$L8:L$52)</f>
        <v>-28.612224699767189</v>
      </c>
      <c r="N7" s="196">
        <f t="shared" ca="1" si="6"/>
        <v>-8.1684079920489955E-2</v>
      </c>
      <c r="O7" s="197">
        <f t="shared" ca="1" si="0"/>
        <v>-0.30874558288216658</v>
      </c>
      <c r="P7" s="197">
        <f t="shared" ca="1" si="1"/>
        <v>0.30874558288216658</v>
      </c>
      <c r="Q7" s="34">
        <f ca="1">SQRT((1/COUNT($L$4:$L$51))*(1+2*SUMSQ($N$3:N7)))</f>
        <v>0.15752325657253397</v>
      </c>
      <c r="S7" s="198">
        <f t="shared" ca="1" si="7"/>
        <v>-3.2735289454757101E-2</v>
      </c>
      <c r="T7" s="198">
        <f t="shared" ca="1" si="2"/>
        <v>-0.28290163190291667</v>
      </c>
      <c r="U7" s="198">
        <f t="shared" ca="1" si="3"/>
        <v>0.28290163190291667</v>
      </c>
      <c r="V7" s="40">
        <f t="shared" ca="1" si="8"/>
        <v>0.14433756729740646</v>
      </c>
      <c r="Y7" s="45">
        <v>5</v>
      </c>
      <c r="Z7" s="42">
        <f t="shared" ca="1" si="9"/>
        <v>-8.1684079920489955E-2</v>
      </c>
      <c r="AA7" s="41">
        <f ca="1">AF7</f>
        <v>-3.2735289454757101E-2</v>
      </c>
      <c r="AB7" s="41">
        <f ca="1">AB6-(AE6*AF7)</f>
        <v>5.8048355918452421E-2</v>
      </c>
      <c r="AC7" s="41">
        <f ca="1">AC6-(AD6*AF7)</f>
        <v>-8.4598148246936511E-2</v>
      </c>
      <c r="AD7" s="41">
        <f ca="1">AD6-(AC6*AF7)</f>
        <v>0.24529874337306798</v>
      </c>
      <c r="AE7" s="34">
        <f ca="1">AE6-(AB6*AF7)</f>
        <v>-0.17480708094000813</v>
      </c>
      <c r="AF7" s="39">
        <f ca="1">(Z7-(AB6*Z6+AC6*Z5+AD6*Z4+AE6*Z3))/(1-(AB6*Z3+AC6*Z4+AD6*Z5+AE6*Z6))</f>
        <v>-3.2735289454757101E-2</v>
      </c>
      <c r="AG7" s="41"/>
      <c r="AH7" s="34"/>
      <c r="AI7" s="34"/>
      <c r="AJ7" s="34"/>
      <c r="AK7" s="34"/>
      <c r="AL7" s="34"/>
      <c r="AM7" s="34"/>
      <c r="AN7" s="34"/>
      <c r="AO7" s="34"/>
      <c r="AP7" s="34"/>
      <c r="AQ7" s="34"/>
      <c r="AR7" s="34"/>
      <c r="AS7" s="44"/>
      <c r="AT7" s="44"/>
      <c r="AU7" s="44"/>
    </row>
    <row r="8" spans="1:47">
      <c r="A8" s="115">
        <v>6</v>
      </c>
      <c r="B8" s="117">
        <f ca="1">'5. Model'!P8</f>
        <v>0.79577630693552948</v>
      </c>
      <c r="E8" s="230" t="s">
        <v>172</v>
      </c>
      <c r="F8" s="236">
        <f ca="1">SUMSQ(B3:B52)</f>
        <v>350.28738346700737</v>
      </c>
      <c r="G8" s="232"/>
      <c r="J8" s="38">
        <v>6</v>
      </c>
      <c r="K8" s="37">
        <f t="shared" ca="1" si="4"/>
        <v>0.79577630693552948</v>
      </c>
      <c r="L8" s="35">
        <f t="shared" ca="1" si="5"/>
        <v>0.79702671777064638</v>
      </c>
      <c r="M8" s="48">
        <f ca="1">SUMPRODUCT($L$3:INDEX($L$3:$L$52,ROWS($L9:L$52)),$L9:L$52)</f>
        <v>75.603274410037073</v>
      </c>
      <c r="N8" s="196">
        <f t="shared" ca="1" si="6"/>
        <v>0.21583725047463545</v>
      </c>
      <c r="O8" s="197">
        <f t="shared" ca="1" si="0"/>
        <v>-0.32059422274055466</v>
      </c>
      <c r="P8" s="197">
        <f t="shared" ca="1" si="1"/>
        <v>0.32059422274055466</v>
      </c>
      <c r="Q8" s="34">
        <f ca="1">SQRT((1/COUNT($L$4:$L$51))*(1+2*SUMSQ($N$3:N8)))</f>
        <v>0.1635684809900789</v>
      </c>
      <c r="S8" s="198">
        <f t="shared" ca="1" si="7"/>
        <v>0.1485298215993352</v>
      </c>
      <c r="T8" s="198">
        <f t="shared" ca="1" si="2"/>
        <v>-0.28290163190291667</v>
      </c>
      <c r="U8" s="198">
        <f t="shared" ca="1" si="3"/>
        <v>0.28290163190291667</v>
      </c>
      <c r="V8" s="40">
        <f t="shared" ca="1" si="8"/>
        <v>0.14433756729740646</v>
      </c>
      <c r="Y8" s="45">
        <v>6</v>
      </c>
      <c r="Z8" s="42">
        <f t="shared" ca="1" si="9"/>
        <v>0.21583725047463545</v>
      </c>
      <c r="AA8" s="41">
        <f ca="1">AG8</f>
        <v>0.1485298215993352</v>
      </c>
      <c r="AB8" s="41">
        <f ca="1">AB7-(AF7*AG8)</f>
        <v>6.2910522621170098E-2</v>
      </c>
      <c r="AC8" s="41">
        <f ca="1">AC7-(AE7*AG8)</f>
        <v>-5.8634083700616554E-2</v>
      </c>
      <c r="AD8" s="41">
        <f ca="1">AD7-(AD7*AG8)</f>
        <v>0.20886456478132509</v>
      </c>
      <c r="AE8" s="34">
        <f ca="1">AE7-(AC7*AG8)</f>
        <v>-0.16224173307325654</v>
      </c>
      <c r="AF8" s="34">
        <f ca="1">AF7-(AB7*AG8)</f>
        <v>-4.1357201403459554E-2</v>
      </c>
      <c r="AG8" s="46">
        <f ca="1">(Z8-(AB7*Z7+AC7*Z6+AD7*Z5+AE7*Z4+AF7*Z3))/(1-(AB7*Z3+AC7*Z4+AD7*Z5+AE7*Z6+AF7*Z7))</f>
        <v>0.1485298215993352</v>
      </c>
      <c r="AH8" s="34"/>
      <c r="AI8" s="34"/>
      <c r="AJ8" s="34"/>
      <c r="AK8" s="34"/>
      <c r="AL8" s="34"/>
      <c r="AM8" s="34"/>
      <c r="AN8" s="34"/>
      <c r="AO8" s="34"/>
      <c r="AP8" s="34"/>
      <c r="AQ8" s="34"/>
      <c r="AR8" s="34"/>
      <c r="AS8" s="44"/>
      <c r="AT8" s="44"/>
      <c r="AU8" s="44"/>
    </row>
    <row r="9" spans="1:47">
      <c r="A9" s="115">
        <v>7</v>
      </c>
      <c r="B9" s="117">
        <f ca="1">'5. Model'!P9</f>
        <v>-1.5953394410154571</v>
      </c>
      <c r="E9" s="230" t="s">
        <v>174</v>
      </c>
      <c r="F9" s="237">
        <f ca="1">SQRT(F8/(COUNT(B4:B52)))</f>
        <v>2.673709429158595</v>
      </c>
      <c r="G9" s="232"/>
      <c r="J9" s="38">
        <v>7</v>
      </c>
      <c r="K9" s="37">
        <f t="shared" ca="1" si="4"/>
        <v>-1.5953394410154571</v>
      </c>
      <c r="L9" s="35">
        <f t="shared" ca="1" si="5"/>
        <v>-1.5940890301803401</v>
      </c>
      <c r="M9" s="48">
        <f ca="1">SUMPRODUCT($L$3:INDEX($L$3:$L$52,ROWS($L10:L$52)),$L10:L$52)</f>
        <v>-74.555887903504171</v>
      </c>
      <c r="N9" s="196">
        <f t="shared" ca="1" si="6"/>
        <v>-0.21284710189286604</v>
      </c>
      <c r="O9" s="197">
        <f t="shared" ca="1" si="0"/>
        <v>-0.33171116670884532</v>
      </c>
      <c r="P9" s="197">
        <f t="shared" ca="1" si="1"/>
        <v>0.33171116670884532</v>
      </c>
      <c r="Q9" s="34">
        <f ca="1">SQRT((1/COUNT($L$4:$L$51))*(1+2*SUMSQ($N$3:N9)))</f>
        <v>0.16924039117798231</v>
      </c>
      <c r="S9" s="198">
        <f t="shared" ca="1" si="7"/>
        <v>-0.18446536713638362</v>
      </c>
      <c r="T9" s="198">
        <f t="shared" ca="1" si="2"/>
        <v>-0.28290163190291667</v>
      </c>
      <c r="U9" s="198">
        <f t="shared" ca="1" si="3"/>
        <v>0.28290163190291667</v>
      </c>
      <c r="V9" s="40">
        <f t="shared" ca="1" si="8"/>
        <v>0.14433756729740646</v>
      </c>
      <c r="Y9" s="45">
        <v>7</v>
      </c>
      <c r="Z9" s="42">
        <f t="shared" ca="1" si="9"/>
        <v>-0.21284710189286604</v>
      </c>
      <c r="AA9" s="41">
        <f ca="1">AH9</f>
        <v>-0.18446536713638362</v>
      </c>
      <c r="AB9" s="41">
        <f ca="1">AB8-(AG8*AH9)</f>
        <v>9.0309130693193018E-2</v>
      </c>
      <c r="AC9" s="41">
        <f ca="1">AC8-(AF8*AH9)</f>
        <v>-6.6263055041239083E-2</v>
      </c>
      <c r="AD9" s="41">
        <f ca="1">AD8-(AE8*AH9)</f>
        <v>0.17893658392512368</v>
      </c>
      <c r="AE9" s="34">
        <f ca="1">AE8-(AD8*AH9)</f>
        <v>-0.12371345444908843</v>
      </c>
      <c r="AF9" s="34">
        <f ca="1">AF8-(AC8*AH9)</f>
        <v>-5.2173159179999234E-2</v>
      </c>
      <c r="AG9" s="34">
        <f ca="1">AG8-(AB8*AH9)</f>
        <v>0.1601346342513911</v>
      </c>
      <c r="AH9" s="39">
        <f ca="1">(Z9-(AB8*Z8+AC8*Z7+AD8*Z6+AE8*Z5+AF8*Z4+AG8*Z3))/(1-(AB8*Z3+AC8*Z4+AD8*Z5+AE8*Z6+AF8*Z7+AG8*Z8))</f>
        <v>-0.18446536713638362</v>
      </c>
      <c r="AI9" s="34"/>
      <c r="AJ9" s="34"/>
      <c r="AK9" s="34"/>
      <c r="AL9" s="34"/>
      <c r="AM9" s="34"/>
      <c r="AN9" s="34"/>
      <c r="AO9" s="34"/>
      <c r="AP9" s="34"/>
      <c r="AQ9" s="34"/>
      <c r="AR9" s="34"/>
      <c r="AS9" s="44"/>
      <c r="AT9" s="44"/>
      <c r="AU9" s="44"/>
    </row>
    <row r="10" spans="1:47">
      <c r="A10" s="115">
        <v>8</v>
      </c>
      <c r="B10" s="117">
        <f ca="1">'5. Model'!P10</f>
        <v>-0.33947704231198239</v>
      </c>
      <c r="E10" s="233" t="s">
        <v>175</v>
      </c>
      <c r="F10" s="238">
        <f ca="1">F8/COUNT(B4:B52)</f>
        <v>7.1487221115715789</v>
      </c>
      <c r="G10" s="232"/>
      <c r="J10" s="38">
        <v>8</v>
      </c>
      <c r="K10" s="37">
        <f t="shared" ca="1" si="4"/>
        <v>-0.33947704231198239</v>
      </c>
      <c r="L10" s="35">
        <f t="shared" ca="1" si="5"/>
        <v>-0.33822663147686549</v>
      </c>
      <c r="M10" s="48">
        <f ca="1">SUMPRODUCT($L$3:INDEX($L$3:$L$52,ROWS($L11:L$52)),$L11:L$52)</f>
        <v>21.097612286789648</v>
      </c>
      <c r="N10" s="196">
        <f t="shared" ca="1" si="6"/>
        <v>6.0230865172104527E-2</v>
      </c>
      <c r="O10" s="197">
        <f t="shared" ca="1" si="0"/>
        <v>-0.33258529899699235</v>
      </c>
      <c r="P10" s="197">
        <f t="shared" ca="1" si="1"/>
        <v>0.33258529899699235</v>
      </c>
      <c r="Q10" s="34">
        <f ca="1">SQRT((1/COUNT($L$4:$L$51))*(1+2*SUMSQ($N$3:N10)))</f>
        <v>0.16968637703928183</v>
      </c>
      <c r="S10" s="198">
        <f t="shared" ca="1" si="7"/>
        <v>0.13443132128243632</v>
      </c>
      <c r="T10" s="198">
        <f t="shared" ca="1" si="2"/>
        <v>-0.28290163190291667</v>
      </c>
      <c r="U10" s="198">
        <f t="shared" ca="1" si="3"/>
        <v>0.28290163190291667</v>
      </c>
      <c r="V10" s="40">
        <f t="shared" ca="1" si="8"/>
        <v>0.14433756729740646</v>
      </c>
      <c r="Y10" s="45">
        <v>8</v>
      </c>
      <c r="Z10" s="42">
        <f t="shared" ca="1" si="9"/>
        <v>6.0230865172104527E-2</v>
      </c>
      <c r="AA10" s="41">
        <f ca="1">AI10</f>
        <v>0.13443132128243632</v>
      </c>
      <c r="AB10" s="41">
        <f ca="1">AB9-(AH9*AI10)</f>
        <v>0.11510705372818678</v>
      </c>
      <c r="AC10" s="41">
        <f ca="1">AC9-(AG9*AI10)</f>
        <v>-8.779016550673327E-2</v>
      </c>
      <c r="AD10" s="41">
        <f ca="1">AD9-(AF9*AI10)</f>
        <v>0.18595029064916985</v>
      </c>
      <c r="AE10" s="34">
        <f ca="1">AE9-(AE9*AI10)</f>
        <v>-0.10708249130708297</v>
      </c>
      <c r="AF10" s="34">
        <f ca="1">AF9-(AD9*AI10)</f>
        <v>-7.6227840582819173E-2</v>
      </c>
      <c r="AG10" s="34">
        <f ca="1">AG9-(AC9*AI10)</f>
        <v>0.16904246429279568</v>
      </c>
      <c r="AH10" s="34">
        <f ca="1">AH9-(AB9*AI10)</f>
        <v>-0.19660574289933777</v>
      </c>
      <c r="AI10" s="39">
        <f ca="1">(Z10-(AB9*Z9+AC9*Z8+AD9*Z7+AE9*Z6+AF9*Z5+AG9*Z4+AH9*Z3))/(1-(AB9*Z3+AC9*Z4+AD9*Z5+AE9*Z6+AF9*Z7+AG9*Z8+AH9*Z9))</f>
        <v>0.13443132128243632</v>
      </c>
      <c r="AJ10" s="34"/>
      <c r="AK10" s="34"/>
      <c r="AL10" s="34"/>
      <c r="AM10" s="34"/>
      <c r="AN10" s="34"/>
      <c r="AO10" s="34"/>
      <c r="AP10" s="34"/>
      <c r="AQ10" s="34"/>
      <c r="AR10" s="34"/>
      <c r="AS10" s="44"/>
      <c r="AT10" s="44"/>
      <c r="AU10" s="44"/>
    </row>
    <row r="11" spans="1:47">
      <c r="A11" s="115">
        <v>9</v>
      </c>
      <c r="B11" s="117">
        <f ca="1">'5. Model'!P11</f>
        <v>-2.7388677907902648</v>
      </c>
      <c r="E11" s="239" t="s">
        <v>176</v>
      </c>
      <c r="F11" s="240">
        <f ca="1">SUMXMY2(B5:B52,B4:B51)/SUMSQ(B4:B52)</f>
        <v>1.8495680184002976</v>
      </c>
      <c r="G11" s="241" t="str">
        <f ca="1">IF(F11&lt;F30,"Positive correlation",IF(F11&gt;(4-F31),"Negative correlation","OK"))</f>
        <v>OK</v>
      </c>
      <c r="J11" s="38">
        <v>9</v>
      </c>
      <c r="K11" s="37">
        <f t="shared" ca="1" si="4"/>
        <v>-2.7388677907902648</v>
      </c>
      <c r="L11" s="35">
        <f t="shared" ca="1" si="5"/>
        <v>-2.737617379955148</v>
      </c>
      <c r="M11" s="48">
        <f ca="1">SUMPRODUCT($L$3:INDEX($L$3:$L$52,ROWS($L12:L$52)),$L12:L$52)</f>
        <v>19.726952597306919</v>
      </c>
      <c r="N11" s="196">
        <f t="shared" ca="1" si="6"/>
        <v>5.6317814831058799E-2</v>
      </c>
      <c r="O11" s="197">
        <f t="shared" ca="1" si="0"/>
        <v>-0.33334766229585577</v>
      </c>
      <c r="P11" s="197">
        <f t="shared" ca="1" si="1"/>
        <v>0.33334766229585577</v>
      </c>
      <c r="Q11" s="34">
        <f ca="1">SQRT((1/COUNT($L$4:$L$51))*(1+2*SUMSQ($N$3:N11)))</f>
        <v>0.17007533790604887</v>
      </c>
      <c r="S11" s="198">
        <f t="shared" ca="1" si="7"/>
        <v>-0.10323104089232493</v>
      </c>
      <c r="T11" s="198">
        <f t="shared" ca="1" si="2"/>
        <v>-0.28290163190291667</v>
      </c>
      <c r="U11" s="198">
        <f t="shared" ca="1" si="3"/>
        <v>0.28290163190291667</v>
      </c>
      <c r="V11" s="40">
        <f t="shared" ca="1" si="8"/>
        <v>0.14433756729740646</v>
      </c>
      <c r="Y11" s="45">
        <v>9</v>
      </c>
      <c r="Z11" s="42">
        <f t="shared" ca="1" si="9"/>
        <v>5.6317814831058799E-2</v>
      </c>
      <c r="AA11" s="41">
        <f ca="1">AJ11</f>
        <v>-0.10323104089232493</v>
      </c>
      <c r="AB11" s="41">
        <f ca="1">AB10-(AI10*AJ11)</f>
        <v>0.12898453895270323</v>
      </c>
      <c r="AC11" s="41">
        <f ca="1">AC10-(AH10*AJ11)</f>
        <v>-0.10808598099164073</v>
      </c>
      <c r="AD11" s="41">
        <f ca="1">AD10-(AG10*AJ11)</f>
        <v>0.20340072019311881</v>
      </c>
      <c r="AE11" s="34">
        <f ca="1">AE10-(AF10*AJ11)</f>
        <v>-0.11495157063542161</v>
      </c>
      <c r="AF11" s="34">
        <f ca="1">AF10-(AE10*AJ11)</f>
        <v>-8.7282077621792686E-2</v>
      </c>
      <c r="AG11" s="34">
        <f ca="1">AG10-(AD10*AJ11)</f>
        <v>0.18823830635073985</v>
      </c>
      <c r="AH11" s="34">
        <f ca="1">AH10-(AC10*AJ11)</f>
        <v>-0.20566841306470732</v>
      </c>
      <c r="AI11" s="34">
        <f ca="1">AI10-(AB10*AJ11)</f>
        <v>0.1463139422528458</v>
      </c>
      <c r="AJ11" s="39">
        <f ca="1">(Z11-(AB10*Z10+AC10*Z9+AD10*Z8+AE10*Z7+AF10*Z6+AG10*Z5+AH10*Z4+AI10*Z3))/(1-(AB10*Z3+AC10*Z4+AD10*Z5+AE10*Z6+AF10*Z7+AG10*Z8+AH10*Z9+AI10*Z10))</f>
        <v>-0.10323104089232493</v>
      </c>
      <c r="AK11" s="34"/>
      <c r="AL11" s="34"/>
      <c r="AM11" s="34"/>
      <c r="AN11" s="34"/>
      <c r="AO11" s="34"/>
      <c r="AP11" s="34"/>
      <c r="AQ11" s="34"/>
      <c r="AR11" s="34"/>
      <c r="AS11" s="44"/>
      <c r="AT11" s="44"/>
      <c r="AU11" s="44"/>
    </row>
    <row r="12" spans="1:47">
      <c r="A12" s="115">
        <v>10</v>
      </c>
      <c r="B12" s="117">
        <f ca="1">'5. Model'!P12</f>
        <v>4.5158388631898241</v>
      </c>
      <c r="J12" s="38">
        <v>10</v>
      </c>
      <c r="K12" s="37">
        <f t="shared" ca="1" si="4"/>
        <v>4.5158388631898241</v>
      </c>
      <c r="L12" s="35">
        <f t="shared" ca="1" si="5"/>
        <v>4.5170892740249409</v>
      </c>
      <c r="M12" s="48">
        <f ca="1">SUMPRODUCT($L$3:INDEX($L$3:$L$52,ROWS($L13:L$52)),$L13:L$52)</f>
        <v>-70.045879748944543</v>
      </c>
      <c r="N12" s="196">
        <f t="shared" ca="1" si="6"/>
        <v>-0.19997163099171281</v>
      </c>
      <c r="O12" s="197">
        <f t="shared" ca="1" si="0"/>
        <v>-0.34281411053304539</v>
      </c>
      <c r="P12" s="197">
        <f t="shared" ca="1" si="1"/>
        <v>0.34281411053304539</v>
      </c>
      <c r="Q12" s="34">
        <f ca="1">SQRT((1/COUNT($L$4:$L$51))*(1+2*SUMSQ($N$3:N12)))</f>
        <v>0.17490515843522725</v>
      </c>
      <c r="S12" s="198">
        <f t="shared" ca="1" si="7"/>
        <v>-5.9317200169084421E-2</v>
      </c>
      <c r="T12" s="198">
        <f t="shared" ca="1" si="2"/>
        <v>-0.28290163190291667</v>
      </c>
      <c r="U12" s="198">
        <f t="shared" ca="1" si="3"/>
        <v>0.28290163190291667</v>
      </c>
      <c r="V12" s="40">
        <f t="shared" ca="1" si="8"/>
        <v>0.14433756729740646</v>
      </c>
      <c r="Y12" s="45">
        <v>10</v>
      </c>
      <c r="Z12" s="42">
        <f t="shared" ca="1" si="9"/>
        <v>-0.19997163099171281</v>
      </c>
      <c r="AA12" s="41">
        <f ca="1">AK12</f>
        <v>-5.9317200169084421E-2</v>
      </c>
      <c r="AB12" s="41">
        <f ca="1">AB11-(AJ11*AK12)</f>
        <v>0.12286116263643025</v>
      </c>
      <c r="AC12" s="41">
        <f ca="1">AC11-(AI11*AK12)</f>
        <v>-9.9407047591500819E-2</v>
      </c>
      <c r="AD12" s="41">
        <f ca="1">AD11-(AH11*AK12)</f>
        <v>0.19120104576690161</v>
      </c>
      <c r="AE12" s="34">
        <f ca="1">AE11-(AG11*AK12)</f>
        <v>-0.10378580133812534</v>
      </c>
      <c r="AF12" s="34">
        <f ca="1">AF11-(AF11*AK12)</f>
        <v>-9.2459406091258134E-2</v>
      </c>
      <c r="AG12" s="34">
        <f ca="1">AG11-(AE11*AK12)</f>
        <v>0.18141970102560789</v>
      </c>
      <c r="AH12" s="34">
        <f ca="1">AH11-(AD11*AK12)</f>
        <v>-0.19360325183047616</v>
      </c>
      <c r="AI12" s="34">
        <f ca="1">AI11-(AC11*AK12)</f>
        <v>0.13990258448289281</v>
      </c>
      <c r="AJ12" s="34">
        <f ca="1">AJ11-(AB11*AK12)</f>
        <v>-9.5580039176550363E-2</v>
      </c>
      <c r="AK12" s="39">
        <f ca="1">(Z12-(AB11*Z11+AC11*Z10+AD11*Z9+AE11*Z8+AF11*Z7+AG11*Z6+AH11*Z5+AI11*Z4+AJ11*Z3))/(1-(AB11*Z3+AC11*Z4+AD11*Z5+AE11*Z6+AF11*Z7+AG11*Z8+AH11*Z9+AI11*Z10+AJ11*Z11))</f>
        <v>-5.9317200169084421E-2</v>
      </c>
      <c r="AL12" s="34"/>
      <c r="AM12" s="34"/>
      <c r="AN12" s="34"/>
      <c r="AO12" s="34"/>
      <c r="AP12" s="34"/>
      <c r="AQ12" s="34"/>
      <c r="AR12" s="34"/>
      <c r="AS12" s="44"/>
      <c r="AT12" s="44"/>
      <c r="AU12" s="44"/>
    </row>
    <row r="13" spans="1:47">
      <c r="A13" s="115">
        <v>11</v>
      </c>
      <c r="B13" s="117">
        <f ca="1">'5. Model'!P13</f>
        <v>-0.74126725113460301</v>
      </c>
      <c r="J13" s="38">
        <v>11</v>
      </c>
      <c r="K13" s="37">
        <f t="shared" ca="1" si="4"/>
        <v>-0.74126725113460301</v>
      </c>
      <c r="L13" s="35">
        <f t="shared" ca="1" si="5"/>
        <v>-0.74001684029948611</v>
      </c>
      <c r="M13" s="48">
        <f ca="1">SUMPRODUCT($L$3:INDEX($L$3:$L$52,ROWS($L14:L$52)),$L14:L$52)</f>
        <v>8.9050867265330993</v>
      </c>
      <c r="N13" s="196">
        <f t="shared" ca="1" si="6"/>
        <v>2.5422833194614983E-2</v>
      </c>
      <c r="O13" s="197">
        <f t="shared" ca="1" si="0"/>
        <v>-0.34296496721999981</v>
      </c>
      <c r="P13" s="197">
        <f t="shared" ca="1" si="1"/>
        <v>0.34296496721999981</v>
      </c>
      <c r="Q13" s="34">
        <f ca="1">SQRT((1/COUNT($L$4:$L$51))*(1+2*SUMSQ($N$3:N13)))</f>
        <v>0.17498212613265296</v>
      </c>
      <c r="S13" s="198">
        <f t="shared" ca="1" si="7"/>
        <v>-1.7460245728692512E-2</v>
      </c>
      <c r="T13" s="198">
        <f t="shared" ca="1" si="2"/>
        <v>-0.28290163190291667</v>
      </c>
      <c r="U13" s="198">
        <f t="shared" ca="1" si="3"/>
        <v>0.28290163190291667</v>
      </c>
      <c r="V13" s="40">
        <f t="shared" ca="1" si="8"/>
        <v>0.14433756729740646</v>
      </c>
      <c r="Y13" s="45">
        <v>11</v>
      </c>
      <c r="Z13" s="42">
        <f t="shared" ca="1" si="9"/>
        <v>2.5422833194614983E-2</v>
      </c>
      <c r="AA13" s="41">
        <f ca="1">AL13</f>
        <v>-1.7460245728692512E-2</v>
      </c>
      <c r="AB13" s="41">
        <f ca="1">AB12-(AK12*AL13)</f>
        <v>0.12182546974554</v>
      </c>
      <c r="AC13" s="41">
        <f ca="1">AC12-(AJ12*AL13)</f>
        <v>-0.10107589856228144</v>
      </c>
      <c r="AD13" s="41">
        <f ca="1">AD12-(AI12*AL13)</f>
        <v>0.19364377927005208</v>
      </c>
      <c r="AE13" s="34">
        <f ca="1">AE12-(AH12*AL13)</f>
        <v>-0.1071661616889594</v>
      </c>
      <c r="AF13" s="34">
        <f ca="1">AF12-(AG12*AL13)</f>
        <v>-8.9291773531325086E-2</v>
      </c>
      <c r="AG13" s="34">
        <f ca="1">AG12-(AF12*AL13)</f>
        <v>0.17980533707532556</v>
      </c>
      <c r="AH13" s="34">
        <f ca="1">AH12-(AE12*AL13)</f>
        <v>-0.1954153774249891</v>
      </c>
      <c r="AI13" s="34">
        <f ca="1">AI12-(AD12*AL13)</f>
        <v>0.14324100172556589</v>
      </c>
      <c r="AJ13" s="34">
        <f ca="1">AJ12-(AC12*AL13)</f>
        <v>-9.7315710654661797E-2</v>
      </c>
      <c r="AK13" s="34">
        <f ca="1">AK12-(AB12*AL13)</f>
        <v>-5.7172014078939494E-2</v>
      </c>
      <c r="AL13" s="39">
        <f ca="1">(Z13-(AB12*Z12+AC12*Z11+AD12*Z10+AE12*Z9+AF12*Z8+AG12*Z7+AH12*Z6+AI12*Z5+AJ12*Z4+AK12*Z3))/(1-(AB12*Z3+AC12*Z4+AD12*Z5+AE12*Z6+AF12*Z7+AG12*Z8+AH12*Z9+AI12*Z10+AJ12*Z11+AK12*Z12))</f>
        <v>-1.7460245728692512E-2</v>
      </c>
      <c r="AM13" s="34"/>
      <c r="AN13" s="34"/>
      <c r="AO13" s="34"/>
      <c r="AP13" s="34"/>
      <c r="AQ13" s="34"/>
      <c r="AR13" s="34"/>
      <c r="AS13" s="44"/>
      <c r="AT13" s="44"/>
      <c r="AU13" s="44"/>
    </row>
    <row r="14" spans="1:47">
      <c r="A14" s="115">
        <v>12</v>
      </c>
      <c r="B14" s="117">
        <f ca="1">'5. Model'!P14</f>
        <v>-2.9467367577399419</v>
      </c>
      <c r="J14" s="38">
        <v>12</v>
      </c>
      <c r="K14" s="37">
        <f t="shared" ca="1" si="4"/>
        <v>-2.9467367577399419</v>
      </c>
      <c r="L14" s="35">
        <f t="shared" ca="1" si="5"/>
        <v>-2.9454863469048251</v>
      </c>
      <c r="M14" s="48">
        <f ca="1">SUMPRODUCT($L$3:INDEX($L$3:$L$52,ROWS($L15:L$52)),$L15:L$52)</f>
        <v>42.545026854033992</v>
      </c>
      <c r="N14" s="196">
        <f t="shared" ca="1" si="6"/>
        <v>0.12146036913349774</v>
      </c>
      <c r="O14" s="197">
        <f t="shared" ca="1" si="0"/>
        <v>-0.34639049012856499</v>
      </c>
      <c r="P14" s="197">
        <f t="shared" ca="1" si="1"/>
        <v>0.34639049012856499</v>
      </c>
      <c r="Q14" s="34">
        <f ca="1">SQRT((1/COUNT($L$4:$L$51))*(1+2*SUMSQ($N$3:N14)))</f>
        <v>0.17672984190232907</v>
      </c>
      <c r="S14" s="198">
        <f t="shared" ca="1" si="7"/>
        <v>7.3965895352806427E-2</v>
      </c>
      <c r="T14" s="198">
        <f t="shared" ca="1" si="2"/>
        <v>-0.28290163190291667</v>
      </c>
      <c r="U14" s="198">
        <f t="shared" ca="1" si="3"/>
        <v>0.28290163190291667</v>
      </c>
      <c r="V14" s="40">
        <f t="shared" ca="1" si="8"/>
        <v>0.14433756729740646</v>
      </c>
      <c r="Y14" s="45">
        <v>12</v>
      </c>
      <c r="Z14" s="42">
        <f t="shared" ca="1" si="9"/>
        <v>0.12146036913349774</v>
      </c>
      <c r="AA14" s="41">
        <f ca="1">AM14</f>
        <v>7.3965895352806427E-2</v>
      </c>
      <c r="AB14" s="41">
        <f ca="1">AB13-(AL13*AM14)</f>
        <v>0.12311693245394276</v>
      </c>
      <c r="AC14" s="41">
        <f ca="1">AC13-(AK13*AM14)</f>
        <v>-9.6847119351809424E-2</v>
      </c>
      <c r="AD14" s="41">
        <f ca="1">AD13-(AJ13*AM14)</f>
        <v>0.20084182294051878</v>
      </c>
      <c r="AE14" s="34">
        <f ca="1">AE13-(AI13*AM14)</f>
        <v>-0.11776111063282377</v>
      </c>
      <c r="AF14" s="34">
        <f ca="1">AF13-(AH13*AM14)</f>
        <v>-7.4837700174379171E-2</v>
      </c>
      <c r="AG14" s="34">
        <f ca="1">AG13-(AG13*AM14)</f>
        <v>0.16650587432933595</v>
      </c>
      <c r="AH14" s="34">
        <f ca="1">AH13-(AF13*AM14)</f>
        <v>-0.18881083144810462</v>
      </c>
      <c r="AI14" s="34">
        <f ca="1">AI13-(AE13*AM14)</f>
        <v>0.1511676428264134</v>
      </c>
      <c r="AJ14" s="34">
        <f ca="1">AJ13-(AD13*AM14)</f>
        <v>-0.11163874616787242</v>
      </c>
      <c r="AK14" s="34">
        <f ca="1">AK13-(AC13*AM14)</f>
        <v>-4.9695844743190908E-2</v>
      </c>
      <c r="AL14" s="34">
        <f ca="1">AL13-(AB13*AM14)</f>
        <v>-2.6471175675197609E-2</v>
      </c>
      <c r="AM14" s="39">
        <f ca="1">(Z14-(AB13*Z13+AC13*Z12+AD13*Z11+AE13*Z10+AF13*Z9+AG13*Z8+AH13*Z7+AI13*Z6+AJ13*Z5+AK13*Z4+AL13*Z3))/(1-(AB13*Z3+AC13*Z4+AD13*Z5+AE13*Z6+AF13*Z7+AG13*Z8+AH13*Z9+AI13*Z10+AJ13*Z11+AK13*Z12+AL13*Z13))</f>
        <v>7.3965895352806427E-2</v>
      </c>
      <c r="AN14" s="34"/>
      <c r="AO14" s="34"/>
      <c r="AP14" s="34"/>
      <c r="AQ14" s="34"/>
      <c r="AR14" s="34"/>
      <c r="AS14" s="44"/>
      <c r="AT14" s="44"/>
      <c r="AU14" s="44"/>
    </row>
    <row r="15" spans="1:47">
      <c r="A15" s="115">
        <v>13</v>
      </c>
      <c r="B15" s="117">
        <f ca="1">'5. Model'!P15</f>
        <v>2.4037444156726826</v>
      </c>
      <c r="J15" s="38">
        <v>13</v>
      </c>
      <c r="K15" s="37">
        <f t="shared" ca="1" si="4"/>
        <v>2.4037444156726826</v>
      </c>
      <c r="L15" s="35">
        <f t="shared" ca="1" si="5"/>
        <v>2.4049948265077994</v>
      </c>
      <c r="M15" s="48">
        <f ca="1">SUMPRODUCT($L$3:INDEX($L$3:$L$52,ROWS($L16:L$52)),$L16:L$52)</f>
        <v>-30.292782244746402</v>
      </c>
      <c r="N15" s="196">
        <f t="shared" ca="1" si="6"/>
        <v>-8.648184724741094E-2</v>
      </c>
      <c r="O15" s="197">
        <f t="shared" ca="1" si="0"/>
        <v>-0.34811424538988101</v>
      </c>
      <c r="P15" s="197">
        <f t="shared" ca="1" si="1"/>
        <v>0.34811424538988101</v>
      </c>
      <c r="Q15" s="34">
        <f ca="1">SQRT((1/COUNT($L$4:$L$51))*(1+2*SUMSQ($N$3:N15)))</f>
        <v>0.17760930887238827</v>
      </c>
      <c r="S15" s="198">
        <f t="shared" ca="1" si="7"/>
        <v>4.0880994885752829E-2</v>
      </c>
      <c r="T15" s="198">
        <f t="shared" ca="1" si="2"/>
        <v>-0.28290163190291667</v>
      </c>
      <c r="U15" s="198">
        <f t="shared" ca="1" si="3"/>
        <v>0.28290163190291667</v>
      </c>
      <c r="V15" s="40">
        <f t="shared" ca="1" si="8"/>
        <v>0.14433756729740646</v>
      </c>
      <c r="Y15" s="45">
        <v>13</v>
      </c>
      <c r="Z15" s="42">
        <f t="shared" ca="1" si="9"/>
        <v>-8.648184724741094E-2</v>
      </c>
      <c r="AA15" s="41">
        <f ca="1">AN15</f>
        <v>4.0880994885752829E-2</v>
      </c>
      <c r="AB15" s="41">
        <f ca="1">AB14-(AM14*AN15)</f>
        <v>0.12009313306430455</v>
      </c>
      <c r="AC15" s="41">
        <f ca="1">AC14-(AL14*AN15)</f>
        <v>-9.5764951354411806E-2</v>
      </c>
      <c r="AD15" s="41">
        <f ca="1">AD14-(AK14*AN15)</f>
        <v>0.20287343851530834</v>
      </c>
      <c r="AE15" s="34">
        <f ca="1">AE14-(AJ14*AN15)</f>
        <v>-0.11319720762168312</v>
      </c>
      <c r="AF15" s="34">
        <f ca="1">AF14-(AI14*AN15)</f>
        <v>-8.1017583807657084E-2</v>
      </c>
      <c r="AG15" s="34">
        <f ca="1">AG14-(AH14*AN15)</f>
        <v>0.17422464896414064</v>
      </c>
      <c r="AH15" s="34">
        <f ca="1">AH14-(AG14*AN15)</f>
        <v>-0.19561775724501002</v>
      </c>
      <c r="AI15" s="34">
        <f ca="1">AI14-(AF14*AN15)</f>
        <v>0.1542270824645037</v>
      </c>
      <c r="AJ15" s="34">
        <f ca="1">AJ14-(AE14*AN15)</f>
        <v>-0.10682455480635138</v>
      </c>
      <c r="AK15" s="34">
        <f ca="1">AK14-(AD14*AN15)</f>
        <v>-5.7906458279667533E-2</v>
      </c>
      <c r="AL15" s="34">
        <f ca="1">AL14-(AC14*AN15)</f>
        <v>-2.2511969084276395E-2</v>
      </c>
      <c r="AM15" s="34">
        <f ca="1">AM14-(AB14*AN15)</f>
        <v>6.893275266680722E-2</v>
      </c>
      <c r="AN15" s="39">
        <f ca="1">(Z15-(AB14*Z14+AC14*Z13+AD14*Z12+AE14*Z11+AF14*Z10+AG14*Z9+AH14*Z8+AI14*Z7+AJ14*Z6+AK14*Z5+AL14*Z4+AM14*Z3))/(1-(AB14*Z3+AC14*Z4+AD14*Z5+AE14*Z6+AF14*Z7+AG14*Z8+AH14*Z9+AI14*Z10+AJ14*Z11+AK14*Z12+AL14*Z13+AM14*Z14))</f>
        <v>4.0880994885752829E-2</v>
      </c>
      <c r="AO15" s="34"/>
      <c r="AP15" s="34"/>
      <c r="AQ15" s="34"/>
      <c r="AR15" s="34"/>
      <c r="AS15" s="44"/>
      <c r="AT15" s="44"/>
      <c r="AU15" s="44"/>
    </row>
    <row r="16" spans="1:47">
      <c r="A16" s="115">
        <v>14</v>
      </c>
      <c r="B16" s="117">
        <f ca="1">'5. Model'!P16</f>
        <v>0.80458694926596053</v>
      </c>
      <c r="J16" s="38">
        <v>14</v>
      </c>
      <c r="K16" s="37">
        <f t="shared" ca="1" si="4"/>
        <v>0.80458694926596053</v>
      </c>
      <c r="L16" s="35">
        <f t="shared" ca="1" si="5"/>
        <v>0.80583736010107743</v>
      </c>
      <c r="M16" s="48">
        <f ca="1">SUMPRODUCT($L$3:INDEX($L$3:$L$52,ROWS($L17:L$52)),$L17:L$52)</f>
        <v>3.964687584344134</v>
      </c>
      <c r="N16" s="196">
        <f t="shared" ca="1" si="6"/>
        <v>1.1318653509035794E-2</v>
      </c>
      <c r="O16" s="197">
        <f t="shared" ca="1" si="0"/>
        <v>-0.34814369776131521</v>
      </c>
      <c r="P16" s="197">
        <f t="shared" ca="1" si="1"/>
        <v>0.34814369776131521</v>
      </c>
      <c r="Q16" s="34">
        <f ca="1">SQRT((1/COUNT($L$4:$L$51))*(1+2*SUMSQ($N$3:N16)))</f>
        <v>0.17762433559250776</v>
      </c>
      <c r="S16" s="198">
        <f t="shared" ca="1" si="7"/>
        <v>-0.10006403173663689</v>
      </c>
      <c r="T16" s="198">
        <f t="shared" ca="1" si="2"/>
        <v>-0.28290163190291667</v>
      </c>
      <c r="U16" s="198">
        <f t="shared" ca="1" si="3"/>
        <v>0.28290163190291667</v>
      </c>
      <c r="V16" s="40">
        <f t="shared" ca="1" si="8"/>
        <v>0.14433756729740646</v>
      </c>
      <c r="Y16" s="45">
        <v>14</v>
      </c>
      <c r="Z16" s="42">
        <f t="shared" ca="1" si="9"/>
        <v>1.1318653509035794E-2</v>
      </c>
      <c r="AA16" s="41">
        <f ca="1">AO16</f>
        <v>-0.10006403173663689</v>
      </c>
      <c r="AB16" s="41">
        <f ca="1">AB15-(AN15*AO16)</f>
        <v>0.12418385023397781</v>
      </c>
      <c r="AC16" s="41">
        <f ca="1">AC15-(AM15*AO16)</f>
        <v>-8.8867262203866662E-2</v>
      </c>
      <c r="AD16" s="41">
        <f ca="1">AD15-(AL15*AO16)</f>
        <v>0.20062080012640512</v>
      </c>
      <c r="AE16" s="34">
        <f ca="1">AE15-(AK15*AO16)</f>
        <v>-0.118991561300736</v>
      </c>
      <c r="AF16" s="34">
        <f ca="1">AF15-(AJ15*AO16)</f>
        <v>-9.1706879450051931E-2</v>
      </c>
      <c r="AG16" s="34">
        <f ca="1">AG15-(AI15*AO16)</f>
        <v>0.18965723263851764</v>
      </c>
      <c r="AH16" s="34">
        <f ca="1">AH15-(AH15*AO16)</f>
        <v>-0.21519205871422442</v>
      </c>
      <c r="AI16" s="34">
        <f ca="1">AI15-(AG15*AO16)</f>
        <v>0.1716607032677559</v>
      </c>
      <c r="AJ16" s="34">
        <f ca="1">AJ15-(AF15*AO16)</f>
        <v>-0.11493150088370642</v>
      </c>
      <c r="AK16" s="34">
        <f ca="1">AK15-(AE15*AO16)</f>
        <v>-6.9233427255622315E-2</v>
      </c>
      <c r="AL16" s="34">
        <f ca="1">AL15-(AD15*AO16)</f>
        <v>-2.2116348941599272E-3</v>
      </c>
      <c r="AM16" s="34">
        <f ca="1">AM15-(AC15*AO16)</f>
        <v>5.935012553522187E-2</v>
      </c>
      <c r="AN16" s="34">
        <f ca="1">AN15-(AB15*AO16)</f>
        <v>5.2897997964051556E-2</v>
      </c>
      <c r="AO16" s="39">
        <f ca="1">(Z16-(AB15*Z15+AC15*Z14+AD15*Z13+AE15*Z12+AF15*Z11+AG15*Z10+AH15*Z9+AI15*Z8+AJ15*Z7+AK15*Z6+AL15*Z5+AM15*Z4+AN15*Z3))/(1-(AB15*Z3+AC15*Z4+AD15*Z5+AE15*Z6+AF15*Z7+AG15*Z8+AH15*Z9+AI15*Z10+AJ15*Z11+AK15*Z12+AL15*Z13+AM15*Z14+AN15*Z15))</f>
        <v>-0.10006403173663689</v>
      </c>
      <c r="AP16" s="34"/>
      <c r="AQ16" s="34"/>
      <c r="AR16" s="34"/>
      <c r="AS16" s="44"/>
      <c r="AT16" s="44"/>
      <c r="AU16" s="44"/>
    </row>
    <row r="17" spans="1:47">
      <c r="A17" s="115">
        <v>15</v>
      </c>
      <c r="B17" s="117">
        <f ca="1">'5. Model'!P17</f>
        <v>-1.0576581961052458</v>
      </c>
      <c r="J17" s="38">
        <v>15</v>
      </c>
      <c r="K17" s="37">
        <f t="shared" ca="1" si="4"/>
        <v>-1.0576581961052458</v>
      </c>
      <c r="L17" s="35">
        <f t="shared" ca="1" si="5"/>
        <v>-1.0564077852701288</v>
      </c>
      <c r="M17" s="48">
        <f ca="1">SUMPRODUCT($L$3:INDEX($L$3:$L$52,ROWS($L18:L$52)),$L18:L$52)</f>
        <v>-3.7725307128217147</v>
      </c>
      <c r="N17" s="196">
        <f t="shared" ca="1" si="6"/>
        <v>-1.0770071306309128E-2</v>
      </c>
      <c r="O17" s="197">
        <f t="shared" ca="1" si="0"/>
        <v>-0.34817036222750958</v>
      </c>
      <c r="P17" s="197">
        <f t="shared" ca="1" si="1"/>
        <v>0.34817036222750958</v>
      </c>
      <c r="Q17" s="34">
        <f ca="1">SQRT((1/COUNT($L$4:$L$51))*(1+2*SUMSQ($N$3:N17)))</f>
        <v>0.1776379399119947</v>
      </c>
      <c r="S17" s="198">
        <f t="shared" ca="1" si="7"/>
        <v>-1.484298872714993E-2</v>
      </c>
      <c r="T17" s="198">
        <f t="shared" ca="1" si="2"/>
        <v>-0.28290163190291667</v>
      </c>
      <c r="U17" s="198">
        <f t="shared" ca="1" si="3"/>
        <v>0.28290163190291667</v>
      </c>
      <c r="V17" s="40">
        <f t="shared" ca="1" si="8"/>
        <v>0.14433756729740646</v>
      </c>
      <c r="Y17" s="45">
        <v>15</v>
      </c>
      <c r="Z17" s="42">
        <f t="shared" ca="1" si="9"/>
        <v>-1.0770071306309128E-2</v>
      </c>
      <c r="AA17" s="41">
        <f ca="1">AP17</f>
        <v>-1.484298872714993E-2</v>
      </c>
      <c r="AB17" s="41">
        <f ca="1">AB16-(AO16*AP17)</f>
        <v>0.12269860093891774</v>
      </c>
      <c r="AC17" s="41">
        <f ca="1">AC16-(AN16*AP17)</f>
        <v>-8.8082097816397448E-2</v>
      </c>
      <c r="AD17" s="41">
        <f ca="1">AD16-(AM16*AP17)</f>
        <v>0.20150173337067936</v>
      </c>
      <c r="AE17" s="34">
        <f ca="1">AE16-(AL16*AP17)</f>
        <v>-0.11902438857253859</v>
      </c>
      <c r="AF17" s="34">
        <f ca="1">AF16-(AK16*AP17)</f>
        <v>-9.2734510430349082E-2</v>
      </c>
      <c r="AG17" s="34">
        <f ca="1">AG16-(AJ16*AP17)</f>
        <v>0.18795130566650636</v>
      </c>
      <c r="AH17" s="34">
        <f ca="1">AH16-(AI16*AP17)</f>
        <v>-0.21264410083072649</v>
      </c>
      <c r="AI17" s="34">
        <f ca="1">AI16-(AH16*AP17)</f>
        <v>0.16846660996608848</v>
      </c>
      <c r="AJ17" s="34">
        <f ca="1">AJ16-(AG16*AP17)</f>
        <v>-0.11211642071763045</v>
      </c>
      <c r="AK17" s="34">
        <f ca="1">AK16-(AF16*AP17)</f>
        <v>-7.0594631433501531E-2</v>
      </c>
      <c r="AL17" s="34">
        <f ca="1">AL16-(AE16*AP17)</f>
        <v>-3.9778252971727213E-3</v>
      </c>
      <c r="AM17" s="34">
        <f ca="1">AM16-(AD16*AP17)</f>
        <v>6.2327937809929901E-2</v>
      </c>
      <c r="AN17" s="34">
        <f ca="1">AN16-(AC16*AP17)</f>
        <v>5.1578942192946883E-2</v>
      </c>
      <c r="AO17" s="34">
        <f ca="1">AO16-(AB16*AP17)</f>
        <v>-9.8220772247519877E-2</v>
      </c>
      <c r="AP17" s="39">
        <f ca="1">(Z17-(AB16*Z16+AC16*Z15+AD16*Z14+AE16*Z13+AF16*Z12+AG16*Z11+AH16*Z10+AI16*Z9+AJ16*Z8+AK16*Z7+AL16*Z6+AM16*Z5+AN16*Z4+AO16*Z3))/(1-(AB16*Z3+AC16*Z4+AD16*Z5+AE16*Z6+AF16*Z7+AG16*Z8+AH16*Z9+AI16*Z10+AJ16*Z11+AK16*Z12+AL16*Z13+AM16*Z14+AN16*Z15+AO16*Z16))</f>
        <v>-1.484298872714993E-2</v>
      </c>
      <c r="AQ17" s="34"/>
      <c r="AR17" s="34"/>
      <c r="AS17" s="44"/>
      <c r="AT17" s="44"/>
      <c r="AU17" s="44"/>
    </row>
    <row r="18" spans="1:47">
      <c r="A18" s="115">
        <v>16</v>
      </c>
      <c r="B18" s="117">
        <f ca="1">'5. Model'!P18</f>
        <v>2.7069487542238253</v>
      </c>
      <c r="J18" s="38">
        <v>16</v>
      </c>
      <c r="K18" s="37">
        <f t="shared" ca="1" si="4"/>
        <v>2.7069487542238253</v>
      </c>
      <c r="L18" s="35">
        <f t="shared" ca="1" si="5"/>
        <v>2.7081991650589421</v>
      </c>
      <c r="M18" s="48">
        <f ca="1">SUMPRODUCT($L$3:INDEX($L$3:$L$52,ROWS($L19:L$52)),$L19:L$52)</f>
        <v>-2.6846681779337001</v>
      </c>
      <c r="N18" s="196">
        <f t="shared" ca="1" si="6"/>
        <v>-7.6643690697744613E-3</v>
      </c>
      <c r="O18" s="197">
        <f t="shared" ca="1" si="0"/>
        <v>-0.34818386501721116</v>
      </c>
      <c r="P18" s="197">
        <f t="shared" ca="1" si="1"/>
        <v>0.34818386501721116</v>
      </c>
      <c r="Q18" s="34">
        <f ca="1">SQRT((1/COUNT($L$4:$L$51))*(1+2*SUMSQ($N$3:N18)))</f>
        <v>0.17764482909041385</v>
      </c>
      <c r="S18" s="198">
        <f t="shared" ca="1" si="7"/>
        <v>5.9983552018448211E-2</v>
      </c>
      <c r="T18" s="198">
        <f t="shared" ca="1" si="2"/>
        <v>-0.28290163190291667</v>
      </c>
      <c r="U18" s="198">
        <f t="shared" ca="1" si="3"/>
        <v>0.28290163190291667</v>
      </c>
      <c r="V18" s="40">
        <f t="shared" ca="1" si="8"/>
        <v>0.14433756729740646</v>
      </c>
      <c r="Y18" s="45">
        <v>16</v>
      </c>
      <c r="Z18" s="42">
        <f t="shared" ca="1" si="9"/>
        <v>-7.6643690697744613E-3</v>
      </c>
      <c r="AA18" s="41">
        <f ca="1">AQ18</f>
        <v>5.9983552018448211E-2</v>
      </c>
      <c r="AB18" s="41">
        <f ca="1">AB17-(AP17*AQ18)</f>
        <v>0.12358893612534198</v>
      </c>
      <c r="AC18" s="41">
        <f ca="1">AC17-(AO17*AQ18)</f>
        <v>-8.2190467014996188E-2</v>
      </c>
      <c r="AD18" s="41">
        <f ca="1">AD17-(AN17*AQ18)</f>
        <v>0.1984078452085922</v>
      </c>
      <c r="AE18" s="34">
        <f ca="1">AE17-(AM17*AQ18)</f>
        <v>-0.12276303967236313</v>
      </c>
      <c r="AF18" s="34">
        <f ca="1">AF17-(AL17*AQ18)</f>
        <v>-9.2495906339715828E-2</v>
      </c>
      <c r="AG18" s="34">
        <f ca="1">AG17-(AK17*AQ18)</f>
        <v>0.19218582241332099</v>
      </c>
      <c r="AH18" s="34">
        <f ca="1">AH17-(AJ17*AQ18)</f>
        <v>-0.20591895967648827</v>
      </c>
      <c r="AI18" s="34">
        <f ca="1">AI17-(AI17*AQ18)</f>
        <v>0.15836138430381599</v>
      </c>
      <c r="AJ18" s="34">
        <f ca="1">AJ17-(AH17*AQ18)</f>
        <v>-9.9361272234034417E-2</v>
      </c>
      <c r="AK18" s="34">
        <f ca="1">AK17-(AG17*AQ18)</f>
        <v>-8.1868618353883676E-2</v>
      </c>
      <c r="AL18" s="34">
        <f ca="1">AL17-(AF17*AQ18)</f>
        <v>1.5847200331314511E-3</v>
      </c>
      <c r="AM18" s="34">
        <f ca="1">AM17-(AE17*AQ18)</f>
        <v>6.9467443413334759E-2</v>
      </c>
      <c r="AN18" s="34">
        <f ca="1">AN17-(AD17*AQ18)</f>
        <v>3.9492152487499252E-2</v>
      </c>
      <c r="AO18" s="34">
        <f ca="1">AO17-(AC17*AQ18)</f>
        <v>-9.2937295151255955E-2</v>
      </c>
      <c r="AP18" s="34">
        <f ca="1">AP17-(AB17*AQ18)</f>
        <v>-2.220288663916032E-2</v>
      </c>
      <c r="AQ18" s="39">
        <f ca="1">(Z18-(AB17*Z17+AC17*Z16+AD17*Z15+AE17*Z14+AF17*Z13+AG17*Z12+AH17*Z11+AI17*Z10+AJ17*Z9+AK17*Z8+AL17*Z7+AM17*Z6+AN17*Z5+AO17*Z4+AP17*Z3))/(1-(AB17*Z3+AC17*Z4+AD17*Z5+AE17*Z6+AF17*Z7+AG17*Z8+AH17*Z9+AI17*Z10+AJ17*Z11+AK17*Z12+AL17*Z13+AM17*Z14+AN17*Z15+AO17*Z16+AP17*Z17))</f>
        <v>5.9983552018448211E-2</v>
      </c>
      <c r="AR18" s="34"/>
      <c r="AS18" s="44"/>
      <c r="AT18" s="44"/>
      <c r="AU18" s="44"/>
    </row>
    <row r="19" spans="1:47">
      <c r="A19" s="115">
        <v>17</v>
      </c>
      <c r="B19" s="117">
        <f ca="1">'5. Model'!P19</f>
        <v>-2.8214688390116067</v>
      </c>
      <c r="J19" s="38">
        <v>17</v>
      </c>
      <c r="K19" s="37">
        <f t="shared" ca="1" si="4"/>
        <v>-2.8214688390116067</v>
      </c>
      <c r="L19" s="35">
        <f t="shared" ca="1" si="5"/>
        <v>-2.8202184281764899</v>
      </c>
      <c r="M19" s="48">
        <f ca="1">SUMPRODUCT($L$3:INDEX($L$3:$L$52,ROWS($L20:L$52)),$L20:L$52)</f>
        <v>30.017096364479738</v>
      </c>
      <c r="N19" s="196">
        <f t="shared" ca="1" si="6"/>
        <v>8.5694800881287725E-2</v>
      </c>
      <c r="O19" s="197">
        <f t="shared" ca="1" si="0"/>
        <v>-0.34986778825047143</v>
      </c>
      <c r="P19" s="197">
        <f t="shared" ca="1" si="1"/>
        <v>0.34986778825047143</v>
      </c>
      <c r="Q19" s="34">
        <f ca="1">SQRT((1/COUNT($L$4:$L$51))*(1+2*SUMSQ($N$3:N19)))</f>
        <v>0.17850397359717932</v>
      </c>
      <c r="S19" s="198">
        <f t="shared" ca="1" si="7"/>
        <v>6.1627151662895945E-2</v>
      </c>
      <c r="T19" s="198">
        <f t="shared" ca="1" si="2"/>
        <v>-0.28290163190291667</v>
      </c>
      <c r="U19" s="198">
        <f t="shared" ca="1" si="3"/>
        <v>0.28290163190291667</v>
      </c>
      <c r="V19" s="40">
        <f t="shared" ca="1" si="8"/>
        <v>0.14433756729740646</v>
      </c>
      <c r="Y19" s="45">
        <v>17</v>
      </c>
      <c r="Z19" s="42">
        <f t="shared" ca="1" si="9"/>
        <v>8.5694800881287725E-2</v>
      </c>
      <c r="AA19" s="41">
        <f ca="1">AR19</f>
        <v>6.1627151662895945E-2</v>
      </c>
      <c r="AB19" s="41">
        <f ca="1">AB18-(AQ18*AR19)</f>
        <v>0.11989232066782186</v>
      </c>
      <c r="AC19" s="41">
        <f ca="1">AC18-(AP18*AR19)</f>
        <v>-8.0822166352730568E-2</v>
      </c>
      <c r="AD19" s="41">
        <f ca="1">AD18-(AO18*AR19)</f>
        <v>0.20413530599201798</v>
      </c>
      <c r="AE19" s="34">
        <f ca="1">AE18-(AN18*AR19)</f>
        <v>-0.12519682854320446</v>
      </c>
      <c r="AF19" s="34">
        <f ca="1">AF18-(AM18*AR19)</f>
        <v>-9.6776987010583057E-2</v>
      </c>
      <c r="AG19" s="34">
        <f ca="1">AG18-(AL18*AR19)</f>
        <v>0.19208816063149597</v>
      </c>
      <c r="AH19" s="34">
        <f ca="1">AH18-(AK18*AR19)</f>
        <v>-0.20087362991676172</v>
      </c>
      <c r="AI19" s="34">
        <f ca="1">AI18-(AJ18*AR19)</f>
        <v>0.16448473649720113</v>
      </c>
      <c r="AJ19" s="34">
        <f ca="1">AJ18-(AI18*AR19)</f>
        <v>-0.10912063328207183</v>
      </c>
      <c r="AK19" s="34">
        <f ca="1">AK18-(AH18*AR19)</f>
        <v>-6.9178419395634974E-2</v>
      </c>
      <c r="AL19" s="34">
        <f ca="1">AL18-(AG18*AR19)</f>
        <v>-1.0259144792192667E-2</v>
      </c>
      <c r="AM19" s="34">
        <f ca="1">AM18-(AF18*AR19)</f>
        <v>7.5167702661529445E-2</v>
      </c>
      <c r="AN19" s="34">
        <f ca="1">AN18-(AE18*AR19)</f>
        <v>4.7057688951986087E-2</v>
      </c>
      <c r="AO19" s="34">
        <f ca="1">AO18-(AD18*AR19)</f>
        <v>-0.10516460551903425</v>
      </c>
      <c r="AP19" s="34">
        <f ca="1">AP18-(AC18*AR19)</f>
        <v>-1.7137722263182904E-2</v>
      </c>
      <c r="AQ19" s="34">
        <f ca="1">AQ18-(AB18*AR19)</f>
        <v>5.2367117907995801E-2</v>
      </c>
      <c r="AR19" s="39">
        <f ca="1">(Z19-(AB18*Z18+AC18*Z17+AD18*Z16+AE18*Z15+AF18*Z14+AG18*Z13+AH18*Z12+AI18*Z11+AJ18*Z10+AK18*Z9+AL18*Z8+AM18*Z7+AN18*Z6+AO18*Z5+AP18*Z4+AQ18*Z3))/(1-(AB18*Z3+AC18*Z4+AD18*Z5+AE18*Z6+AF18*Z7+AG18*Z8+AH18*Z9+AI18*Z10+AJ18*Z11+AK18*Z12+AL18*Z13+AM18*Z14+AN18*Z15+AO18*Z16+AP18*Z17+AQ18*Z18))</f>
        <v>6.1627151662895945E-2</v>
      </c>
      <c r="AS19" s="44"/>
      <c r="AT19" s="44"/>
      <c r="AU19" s="44"/>
    </row>
    <row r="20" spans="1:47">
      <c r="A20" s="115">
        <v>18</v>
      </c>
      <c r="B20" s="117">
        <f ca="1">'5. Model'!P20</f>
        <v>0.58781998754111542</v>
      </c>
      <c r="J20" s="38">
        <v>18</v>
      </c>
      <c r="K20" s="37">
        <f t="shared" ca="1" si="4"/>
        <v>0.58781998754111542</v>
      </c>
      <c r="L20" s="35">
        <f t="shared" ca="1" si="5"/>
        <v>0.58907039837623232</v>
      </c>
      <c r="M20" s="48">
        <f ca="1">SUMPRODUCT($L$3:INDEX($L$3:$L$52,ROWS($L21:L$52)),$L21:L$52)</f>
        <v>50.560800169045301</v>
      </c>
      <c r="N20" s="196">
        <f t="shared" ca="1" si="6"/>
        <v>0.14434433131953642</v>
      </c>
      <c r="O20" s="197">
        <f t="shared" ca="1" si="0"/>
        <v>-0.35460189513283175</v>
      </c>
      <c r="P20" s="197">
        <f t="shared" ca="1" si="1"/>
        <v>0.35460189513283175</v>
      </c>
      <c r="Q20" s="34">
        <f ca="1">SQRT((1/COUNT($L$4:$L$51))*(1+2*SUMSQ($N$3:N20)))</f>
        <v>0.18091933425144477</v>
      </c>
      <c r="S20" s="198">
        <f t="shared" ca="1" si="7"/>
        <v>4.2127259878212323E-2</v>
      </c>
      <c r="T20" s="198">
        <f t="shared" ca="1" si="2"/>
        <v>-0.28290163190291667</v>
      </c>
      <c r="U20" s="198">
        <f t="shared" ca="1" si="3"/>
        <v>0.28290163190291667</v>
      </c>
      <c r="V20" s="40">
        <f t="shared" ca="1" si="8"/>
        <v>0.14433756729740646</v>
      </c>
      <c r="Y20" s="43">
        <v>18</v>
      </c>
      <c r="Z20" s="42">
        <f t="shared" ca="1" si="9"/>
        <v>0.14434433131953642</v>
      </c>
      <c r="AA20" s="41">
        <f ca="1">AR20</f>
        <v>4.2127259878212323E-2</v>
      </c>
      <c r="AB20" s="41">
        <f ca="1">AB19-(AR19*AS20)</f>
        <v>0.10986896986661171</v>
      </c>
      <c r="AC20" s="41">
        <f ca="1">AC19-(AQ19*AS20)</f>
        <v>-8.9339418555321015E-2</v>
      </c>
      <c r="AD20" s="41">
        <f ca="1">AD19-(AP19*AS20)</f>
        <v>0.20692267158563205</v>
      </c>
      <c r="AE20" s="34">
        <f ca="1">AE19-(AO19*AS20)</f>
        <v>-0.10809232663868423</v>
      </c>
      <c r="AF20" s="34">
        <f ca="1">AF19-(AN19*AS20)</f>
        <v>-0.10443068690637057</v>
      </c>
      <c r="AG20" s="34">
        <f ca="1">AG19-(AM19*AS20)</f>
        <v>0.17986250631570211</v>
      </c>
      <c r="AH20" s="34">
        <f ca="1">AH19-(AL19*AS20)</f>
        <v>-0.19920503085940067</v>
      </c>
      <c r="AI20" s="34">
        <f ca="1">AI19-(AK19*AS20)</f>
        <v>0.17573626357196559</v>
      </c>
      <c r="AJ20" s="34">
        <f ca="1">AJ19-(AJ19*AS20)</f>
        <v>-9.1372703067491859E-2</v>
      </c>
      <c r="AK20" s="34">
        <f ca="1">AK19-(AI19*AS20)</f>
        <v>-9.593104662031153E-2</v>
      </c>
      <c r="AL20" s="34">
        <f ca="1">AL19-(AH19*AS20)</f>
        <v>2.2411955608191318E-2</v>
      </c>
      <c r="AM20" s="34">
        <f ca="1">AM19-(AG19*AS20)</f>
        <v>4.3925515300663617E-2</v>
      </c>
      <c r="AN20" s="34">
        <f ca="1">AN19-(AF19*AS20)</f>
        <v>6.2797986274136394E-2</v>
      </c>
      <c r="AO20" s="34">
        <f ca="1">AO19-(AE19*AS20)</f>
        <v>-8.4801961816923413E-2</v>
      </c>
      <c r="AP20" s="34">
        <f ca="1">AP19-(AD19*AS20)</f>
        <v>-5.033931811273254E-2</v>
      </c>
      <c r="AQ20" s="34">
        <f ca="1">AQ19-(AC19*AS20)</f>
        <v>6.5512442720320807E-2</v>
      </c>
      <c r="AR20" s="40">
        <f ca="1">AR19-(AB19*AS20)</f>
        <v>4.2127259878212323E-2</v>
      </c>
      <c r="AS20" s="39">
        <f ca="1">(Z20-(AB19*Z19+AC19*Z18+AD19*Z17+AE19*Z16+AF19*Z15+AG19*Z14+AH19*Z13+AI19*Z12+AJ19*Z11+AK19*Z10+AL19*Z9+AM19*Z8+AN19*Z7+AO19*Z6+AP19*Z5+AQ19*Z4+AR19*Z3))/(1-(AB19*Z3+AC19*Z4+AD19*Z5+AE19*Z6+AF19*Z7+AG19*Z8+AH19*Z9+AI19*Z10+AJ19*Z11+AK19*Z12+AL19*Z13+AM19*Z14+AN19*Z15+AO19*Z16+AP19*Z17+AQ19*Z18+AR19*Z19))</f>
        <v>0.16264504412013803</v>
      </c>
      <c r="AT20" s="44"/>
      <c r="AU20" s="44"/>
    </row>
    <row r="21" spans="1:47">
      <c r="A21" s="115">
        <v>19</v>
      </c>
      <c r="B21" s="117">
        <f ca="1">'5. Model'!P21</f>
        <v>0.64040778803316001</v>
      </c>
      <c r="J21" s="38">
        <v>19</v>
      </c>
      <c r="K21" s="37">
        <f t="shared" ca="1" si="4"/>
        <v>0.64040778803316001</v>
      </c>
      <c r="L21" s="35">
        <f t="shared" ca="1" si="5"/>
        <v>0.64165819886827691</v>
      </c>
      <c r="M21" s="48">
        <f ca="1">SUMPRODUCT($L$3:INDEX($L$3:$L$52,ROWS($L22:L$52)),$L22:L$52)</f>
        <v>-48.661978190215812</v>
      </c>
      <c r="N21" s="196">
        <f t="shared" ca="1" si="6"/>
        <v>-0.13892344818650437</v>
      </c>
      <c r="O21" s="197">
        <f t="shared" ca="1" si="0"/>
        <v>-0.35893139538504765</v>
      </c>
      <c r="P21" s="197">
        <f t="shared" ca="1" si="1"/>
        <v>0.35893139538504765</v>
      </c>
      <c r="Q21" s="34">
        <f ca="1">SQRT((1/COUNT($L$4:$L$51))*(1+2*SUMSQ($N$3:N21)))</f>
        <v>0.18312826295155493</v>
      </c>
      <c r="S21" s="198">
        <f t="shared" ca="1" si="7"/>
        <v>2.4354524589318333E-2</v>
      </c>
      <c r="T21" s="198">
        <f t="shared" ca="1" si="2"/>
        <v>-0.28290163190291667</v>
      </c>
      <c r="U21" s="198">
        <f t="shared" ca="1" si="3"/>
        <v>0.28290163190291667</v>
      </c>
      <c r="V21" s="40">
        <f t="shared" ca="1" si="8"/>
        <v>0.14433756729740646</v>
      </c>
      <c r="Y21" s="43">
        <v>19</v>
      </c>
      <c r="Z21" s="42">
        <f t="shared" ca="1" si="9"/>
        <v>-0.13892344818650437</v>
      </c>
      <c r="AA21" s="41">
        <f ca="1">AR21</f>
        <v>2.4354524589318333E-2</v>
      </c>
      <c r="AB21" s="41">
        <f ca="1">AB20-(AS20*AT21)</f>
        <v>0.14222475818425945</v>
      </c>
      <c r="AC21" s="41">
        <f ca="1">AC20-(AR20*AT21)</f>
        <v>-8.0958833026904015E-2</v>
      </c>
      <c r="AD21" s="41">
        <f ca="1">AD20-(AQ20*AT21)</f>
        <v>0.21995538795456732</v>
      </c>
      <c r="AE21" s="34">
        <f ca="1">AE20-(AP20*AT21)</f>
        <v>-0.11810657779353168</v>
      </c>
      <c r="AF21" s="34">
        <f ca="1">AF20-(AO20*AT21)</f>
        <v>-0.12130076333761358</v>
      </c>
      <c r="AG21" s="34">
        <f ca="1">AG20-(AN20*AT21)</f>
        <v>0.19235522235050273</v>
      </c>
      <c r="AH21" s="34">
        <f ca="1">AH20-(AL20*AT21)</f>
        <v>-0.19474650895751278</v>
      </c>
      <c r="AI21" s="34">
        <f ca="1">AI20-(AL20*AT21)</f>
        <v>0.18019478547385348</v>
      </c>
      <c r="AJ21" s="34">
        <f ca="1">AJ20-(AK20*AT21)</f>
        <v>-0.11045674374225399</v>
      </c>
      <c r="AK21" s="34">
        <f ca="1">AK20-(AJ20*AT21)</f>
        <v>-0.11410827331944952</v>
      </c>
      <c r="AL21" s="34">
        <f ca="1">AL20-(AI20*AT21)</f>
        <v>5.73720453830069E-2</v>
      </c>
      <c r="AM21" s="34">
        <f ca="1">AM20-(AH20*AT21)</f>
        <v>4.2966668155150559E-3</v>
      </c>
      <c r="AN21" s="34">
        <f ca="1">AN20-(AG20*AT21)</f>
        <v>9.857893005951103E-2</v>
      </c>
      <c r="AO21" s="34">
        <f ca="1">AO20-(AF20*AT21)</f>
        <v>-0.10557687824728951</v>
      </c>
      <c r="AP21" s="34">
        <f ca="1">AP20-(AE20*AT21)</f>
        <v>-7.1842662763676429E-2</v>
      </c>
      <c r="AQ21" s="34">
        <f ca="1">AQ20-(AD20*AT21)</f>
        <v>0.10667659989563241</v>
      </c>
      <c r="AR21" s="40">
        <f ca="1">AR20-(AC20*AT21)</f>
        <v>2.4354524589318333E-2</v>
      </c>
      <c r="AS21" s="40">
        <f ca="1">AS20-(AB20*AT21)</f>
        <v>0.18450182525302194</v>
      </c>
      <c r="AT21" s="39">
        <f ca="1">(Z21-(AB20*Z20+AC20*Z19+AD20*Z18+AE20*Z17+AF20*Z16+AG20*Z15+AH20*Z14+AI20*Z13+AJ20*Z12+AK20*Z11+AL20*Z10+AM20*Z9+AN20*Z8+AO20*Z7+AP20*Z6+AQ20*Z5+AR20*Z4+AS20*Z3))/(1-(AB20*Z3+AC20*Z4+AD20*Z5+AE20*Z6+AF20*Z7+AG20*Z8+AH20*Z9+AI20*Z10+AJ20*Z11+AK20*Z12+AL20*Z13+AM20*Z14+AN20*Z15+AO20*Z16+AP20*Z17+AQ20*Z18+AR20*Z19+AS20*Z20))</f>
        <v>-0.19893497826929224</v>
      </c>
      <c r="AU21" s="44"/>
    </row>
    <row r="22" spans="1:47">
      <c r="A22" s="115">
        <v>20</v>
      </c>
      <c r="B22" s="117">
        <f ca="1">'5. Model'!P22</f>
        <v>2.7382755871578817</v>
      </c>
      <c r="J22" s="38">
        <v>20</v>
      </c>
      <c r="K22" s="37">
        <f t="shared" ca="1" si="4"/>
        <v>2.7382755871578817</v>
      </c>
      <c r="L22" s="35">
        <f t="shared" ca="1" si="5"/>
        <v>2.7395259979929985</v>
      </c>
      <c r="M22" s="48">
        <f ca="1">SUMPRODUCT($L$3:INDEX($L$3:$L$52,ROWS($L23:L$52)),$L23:L$52)</f>
        <v>0.12798213173870066</v>
      </c>
      <c r="N22" s="196">
        <f t="shared" ca="1" si="6"/>
        <v>3.6537189215572464E-4</v>
      </c>
      <c r="O22" s="197">
        <f t="shared" ca="1" si="0"/>
        <v>-0.35893142515168036</v>
      </c>
      <c r="P22" s="197">
        <f t="shared" ca="1" si="1"/>
        <v>0.35893142515168036</v>
      </c>
      <c r="Q22" s="34">
        <f ca="1">SQRT((1/COUNT($L$4:$L$51))*(1+2*SUMSQ($N$3:N22)))</f>
        <v>0.18312827813861243</v>
      </c>
      <c r="S22" s="198">
        <f t="shared" ca="1" si="7"/>
        <v>2.1591541146108038E-2</v>
      </c>
      <c r="T22" s="198">
        <f t="shared" ca="1" si="2"/>
        <v>-0.28290163190291667</v>
      </c>
      <c r="U22" s="198">
        <f t="shared" ca="1" si="3"/>
        <v>0.28290163190291667</v>
      </c>
      <c r="V22" s="40">
        <f t="shared" ca="1" si="8"/>
        <v>0.14433756729740646</v>
      </c>
      <c r="Y22" s="43">
        <v>20</v>
      </c>
      <c r="Z22" s="42">
        <f t="shared" ca="1" si="9"/>
        <v>3.6537189215572464E-4</v>
      </c>
      <c r="AA22" s="41">
        <f ca="1">AR22</f>
        <v>2.1591541146108038E-2</v>
      </c>
      <c r="AB22" s="41">
        <f ca="1">AB21-(AT21*AU22)</f>
        <v>0.14472369242881175</v>
      </c>
      <c r="AC22" s="41">
        <f ca="1">AC21-(AS21*AU22)</f>
        <v>-8.3276464311851095E-2</v>
      </c>
      <c r="AD22" s="41">
        <f ca="1">AD21-(AR21*AU22)</f>
        <v>0.21964945706179262</v>
      </c>
      <c r="AE22" s="34">
        <f ca="1">AE21-(AQ21*AC22)</f>
        <v>-0.10922292772941343</v>
      </c>
      <c r="AF22" s="34">
        <f ca="1">AF21-(AP21*AU22)</f>
        <v>-0.12039830720967741</v>
      </c>
      <c r="AG22" s="34">
        <f ca="1">AG21-(AO21*AU22)</f>
        <v>0.19368143294845971</v>
      </c>
      <c r="AH22" s="34">
        <f ca="1">AH21-(AL21*AU22)</f>
        <v>-0.19546719151487346</v>
      </c>
      <c r="AI22" s="34">
        <f ca="1">AI21-(AM21*AU22)</f>
        <v>0.18014081262334658</v>
      </c>
      <c r="AJ22" s="34">
        <f ca="1">AJ21-(AL21*AU22)</f>
        <v>-0.11117742629961466</v>
      </c>
      <c r="AK22" s="34">
        <f ca="1">AK21-(AK21*AU22)</f>
        <v>-0.11267489506558252</v>
      </c>
      <c r="AL22" s="34">
        <f ca="1">AL21-(AJ21*AU22)</f>
        <v>5.8759554718371798E-2</v>
      </c>
      <c r="AM22" s="34">
        <f ca="1">AM21-(AI21*AU22)</f>
        <v>2.0331386817103677E-3</v>
      </c>
      <c r="AN22" s="34">
        <f ca="1">AN21-(AH21*AU22)</f>
        <v>0.10102525058330632</v>
      </c>
      <c r="AO22" s="34">
        <f ca="1">AO21-(AG21*AU22)</f>
        <v>-0.10799316047393472</v>
      </c>
      <c r="AP22" s="34">
        <f ca="1">AP21-(AF21*AU22)</f>
        <v>-7.0318935593965889E-2</v>
      </c>
      <c r="AQ22" s="34">
        <f ca="1">AQ21-(AE21*AU22)</f>
        <v>0.10816020310268439</v>
      </c>
      <c r="AR22" s="40">
        <f ca="1">AR21-(AD21*AU22)</f>
        <v>2.1591541146108038E-2</v>
      </c>
      <c r="AS22" s="40">
        <f ca="1">AS21-(AB21*AU22)</f>
        <v>0.18271526000571431</v>
      </c>
      <c r="AT22" s="40">
        <f ca="1">AT21-(AB21*AU22)</f>
        <v>-0.20072154351659988</v>
      </c>
      <c r="AU22" s="39">
        <f ca="1">(Z22-(AB21*Z21+AC21*Z20+AD21*Z19+AE21*Z18+AF21*Z17+AG21*Z16+AH21*Z15+AI21*Z14+AJ21*Z13+AK21*Z12+AL21*Z11+AM21*Z10+AN21*Z9+AO21*Z8+AP21*Z7+AQ21*Z6+AR21*Z5+AS21*Z4+AT21*Z3))/(1-(AB21*Z3+AC21*Z4+AD21*Z5+AE21*Z6+AF21*Z7+AG21*Z8+AH21*Z9+AI21*Z10+AJ21*Z11+AK21*Z12+AL21*Z13+AM21*Z14+AN21*Z15+AO21*Z16+AP21*Z17+AQ21*Z18+AR21*Z19+AS21*Z20+AT21*Z21))</f>
        <v>1.2561562910116116E-2</v>
      </c>
    </row>
    <row r="23" spans="1:47">
      <c r="A23" s="115">
        <v>21</v>
      </c>
      <c r="B23" s="117">
        <f ca="1">'5. Model'!P23</f>
        <v>-2.7562761094151496</v>
      </c>
      <c r="J23" s="38">
        <v>21</v>
      </c>
      <c r="K23" s="37">
        <f t="shared" ca="1" si="4"/>
        <v>-2.7562761094151496</v>
      </c>
      <c r="L23" s="35">
        <f t="shared" ca="1" si="5"/>
        <v>-2.7550256985800328</v>
      </c>
      <c r="M23" s="35"/>
    </row>
    <row r="24" spans="1:47">
      <c r="A24" s="115">
        <v>22</v>
      </c>
      <c r="B24" s="117">
        <f ca="1">'5. Model'!P24</f>
        <v>0.67102132201112341</v>
      </c>
      <c r="J24" s="38">
        <v>22</v>
      </c>
      <c r="K24" s="37">
        <f t="shared" ca="1" si="4"/>
        <v>0.67102132201112341</v>
      </c>
      <c r="L24" s="35">
        <f t="shared" ca="1" si="5"/>
        <v>0.67227173284624031</v>
      </c>
      <c r="M24" s="35"/>
    </row>
    <row r="25" spans="1:47">
      <c r="A25" s="115">
        <v>23</v>
      </c>
      <c r="B25" s="117">
        <f ca="1">'5. Model'!P25</f>
        <v>0.73084108838055739</v>
      </c>
      <c r="J25" s="38">
        <v>23</v>
      </c>
      <c r="K25" s="37">
        <f t="shared" ca="1" si="4"/>
        <v>0.73084108838055739</v>
      </c>
      <c r="L25" s="35">
        <f t="shared" ca="1" si="5"/>
        <v>0.73209149921567429</v>
      </c>
      <c r="M25" s="35"/>
    </row>
    <row r="26" spans="1:47">
      <c r="A26" s="115">
        <v>24</v>
      </c>
      <c r="B26" s="117">
        <f ca="1">'5. Model'!P26</f>
        <v>-1.1683981032022266</v>
      </c>
      <c r="J26" s="38">
        <v>24</v>
      </c>
      <c r="K26" s="37">
        <f t="shared" ca="1" si="4"/>
        <v>-1.1683981032022266</v>
      </c>
      <c r="L26" s="35">
        <f t="shared" ca="1" si="5"/>
        <v>-1.1671476923671096</v>
      </c>
      <c r="M26" s="35"/>
    </row>
    <row r="27" spans="1:47">
      <c r="A27" s="115">
        <v>25</v>
      </c>
      <c r="B27" s="117">
        <f ca="1">'5. Model'!P27</f>
        <v>-1.4230492546121862</v>
      </c>
      <c r="J27" s="38">
        <v>25</v>
      </c>
      <c r="K27" s="37">
        <f t="shared" ca="1" si="4"/>
        <v>-1.4230492546121862</v>
      </c>
      <c r="L27" s="35">
        <f t="shared" ca="1" si="5"/>
        <v>-1.4217988437770692</v>
      </c>
      <c r="M27" s="35"/>
    </row>
    <row r="28" spans="1:47">
      <c r="A28" s="115">
        <v>26</v>
      </c>
      <c r="B28" s="117">
        <f ca="1">'5. Model'!P28</f>
        <v>0.27954548702782611</v>
      </c>
      <c r="J28" s="38">
        <v>26</v>
      </c>
      <c r="K28" s="37">
        <f t="shared" ca="1" si="4"/>
        <v>0.27954548702782611</v>
      </c>
      <c r="L28" s="35">
        <f t="shared" ca="1" si="5"/>
        <v>0.28079589786294301</v>
      </c>
      <c r="M28" s="35"/>
    </row>
    <row r="29" spans="1:47">
      <c r="A29" s="115">
        <v>27</v>
      </c>
      <c r="B29" s="117">
        <f ca="1">'5. Model'!P29</f>
        <v>-1.6587952408958362</v>
      </c>
      <c r="J29" s="38">
        <v>27</v>
      </c>
      <c r="K29" s="37">
        <f t="shared" ca="1" si="4"/>
        <v>-1.6587952408958362</v>
      </c>
      <c r="L29" s="35">
        <f t="shared" ca="1" si="5"/>
        <v>-1.6575448300607192</v>
      </c>
      <c r="M29" s="35"/>
    </row>
    <row r="30" spans="1:47" ht="18">
      <c r="A30" s="115">
        <v>28</v>
      </c>
      <c r="B30" s="117">
        <f ca="1">'5. Model'!P30</f>
        <v>-1.933521288679996</v>
      </c>
      <c r="F30">
        <v>1.462</v>
      </c>
      <c r="G30" t="s">
        <v>399</v>
      </c>
      <c r="J30" s="38">
        <v>28</v>
      </c>
      <c r="K30" s="37">
        <f t="shared" ca="1" si="4"/>
        <v>-1.933521288679996</v>
      </c>
      <c r="L30" s="35">
        <f t="shared" ca="1" si="5"/>
        <v>-1.9322708778448789</v>
      </c>
      <c r="M30" s="35"/>
    </row>
    <row r="31" spans="1:47" ht="18">
      <c r="A31" s="115">
        <v>29</v>
      </c>
      <c r="B31" s="117">
        <f ca="1">'5. Model'!P31</f>
        <v>-2.2389847480754952</v>
      </c>
      <c r="F31">
        <v>1.6279999999999999</v>
      </c>
      <c r="G31" t="s">
        <v>398</v>
      </c>
      <c r="J31" s="38">
        <v>29</v>
      </c>
      <c r="K31" s="37">
        <f t="shared" ca="1" si="4"/>
        <v>-2.2389847480754952</v>
      </c>
      <c r="L31" s="35">
        <f t="shared" ca="1" si="5"/>
        <v>-2.2377343372403784</v>
      </c>
      <c r="M31" s="35"/>
    </row>
    <row r="32" spans="1:47">
      <c r="A32" s="115">
        <v>30</v>
      </c>
      <c r="B32" s="117">
        <f ca="1">'5. Model'!P32</f>
        <v>-4.5611772744698662</v>
      </c>
      <c r="J32" s="38">
        <v>30</v>
      </c>
      <c r="K32" s="37">
        <f t="shared" ca="1" si="4"/>
        <v>-4.5611772744698662</v>
      </c>
      <c r="L32" s="35">
        <f t="shared" ca="1" si="5"/>
        <v>-4.5599268636347494</v>
      </c>
      <c r="M32" s="35"/>
    </row>
    <row r="33" spans="1:13">
      <c r="A33" s="115">
        <v>31</v>
      </c>
      <c r="B33" s="117">
        <f ca="1">'5. Model'!P33</f>
        <v>2.7292819925932776</v>
      </c>
      <c r="J33" s="38">
        <v>31</v>
      </c>
      <c r="K33" s="37">
        <f t="shared" ca="1" si="4"/>
        <v>2.7292819925932776</v>
      </c>
      <c r="L33" s="35">
        <f t="shared" ca="1" si="5"/>
        <v>2.7305324034283944</v>
      </c>
      <c r="M33" s="35"/>
    </row>
    <row r="34" spans="1:13">
      <c r="A34" s="115">
        <v>32</v>
      </c>
      <c r="B34" s="117">
        <f ca="1">'5. Model'!P34</f>
        <v>-2.513330476276475</v>
      </c>
      <c r="J34" s="38">
        <v>32</v>
      </c>
      <c r="K34" s="37">
        <f t="shared" ca="1" si="4"/>
        <v>-2.513330476276475</v>
      </c>
      <c r="L34" s="35">
        <f t="shared" ca="1" si="5"/>
        <v>-2.5120800654413582</v>
      </c>
      <c r="M34" s="35"/>
    </row>
    <row r="35" spans="1:13">
      <c r="A35" s="115">
        <v>33</v>
      </c>
      <c r="B35" s="117">
        <f ca="1">'5. Model'!P35</f>
        <v>-4.7129366735015772</v>
      </c>
      <c r="J35" s="38">
        <v>33</v>
      </c>
      <c r="K35" s="37">
        <f t="shared" ca="1" si="4"/>
        <v>-4.7129366735015772</v>
      </c>
      <c r="L35" s="35">
        <f t="shared" ca="1" si="5"/>
        <v>-4.7116862626664604</v>
      </c>
      <c r="M35" s="35"/>
    </row>
    <row r="36" spans="1:13">
      <c r="A36" s="115">
        <v>34</v>
      </c>
      <c r="B36" s="117">
        <f ca="1">'5. Model'!P36</f>
        <v>2.6399160928786629</v>
      </c>
      <c r="J36" s="38">
        <v>34</v>
      </c>
      <c r="K36" s="37">
        <f t="shared" ca="1" si="4"/>
        <v>2.6399160928786629</v>
      </c>
      <c r="L36" s="35">
        <f t="shared" ca="1" si="5"/>
        <v>2.6411665037137797</v>
      </c>
      <c r="M36" s="35"/>
    </row>
    <row r="37" spans="1:13">
      <c r="A37" s="115">
        <v>35</v>
      </c>
      <c r="B37" s="117">
        <f ca="1">'5. Model'!P37</f>
        <v>-0.57765389086813812</v>
      </c>
      <c r="J37" s="38">
        <v>35</v>
      </c>
      <c r="K37" s="37">
        <f t="shared" ca="1" si="4"/>
        <v>-0.57765389086813812</v>
      </c>
      <c r="L37" s="35">
        <f t="shared" ca="1" si="5"/>
        <v>-0.57640348003302122</v>
      </c>
      <c r="M37" s="35"/>
    </row>
    <row r="38" spans="1:13">
      <c r="A38" s="115">
        <v>36</v>
      </c>
      <c r="B38" s="117">
        <f ca="1">'5. Model'!P38</f>
        <v>-2.3866142138807804</v>
      </c>
      <c r="J38" s="38">
        <v>36</v>
      </c>
      <c r="K38" s="37">
        <f t="shared" ca="1" si="4"/>
        <v>-2.3866142138807804</v>
      </c>
      <c r="L38" s="35">
        <f t="shared" ca="1" si="5"/>
        <v>-2.3853638030456636</v>
      </c>
      <c r="M38" s="35"/>
    </row>
    <row r="39" spans="1:13">
      <c r="A39" s="115">
        <v>37</v>
      </c>
      <c r="B39" s="117">
        <f ca="1">'5. Model'!P39</f>
        <v>3.4037708702812597</v>
      </c>
      <c r="J39" s="38">
        <v>37</v>
      </c>
      <c r="K39" s="37">
        <f t="shared" ca="1" si="4"/>
        <v>3.4037708702812597</v>
      </c>
      <c r="L39" s="35">
        <f t="shared" ca="1" si="5"/>
        <v>3.4050212811163765</v>
      </c>
      <c r="M39" s="35"/>
    </row>
    <row r="40" spans="1:13">
      <c r="A40" s="115">
        <v>38</v>
      </c>
      <c r="B40" s="117">
        <f ca="1">'5. Model'!P40</f>
        <v>0.26632196380731177</v>
      </c>
      <c r="J40" s="38">
        <v>38</v>
      </c>
      <c r="K40" s="37">
        <f t="shared" ca="1" si="4"/>
        <v>0.26632196380731177</v>
      </c>
      <c r="L40" s="35">
        <f t="shared" ca="1" si="5"/>
        <v>0.26757237464242867</v>
      </c>
      <c r="M40" s="35"/>
    </row>
    <row r="41" spans="1:13">
      <c r="A41" s="115">
        <v>39</v>
      </c>
      <c r="B41" s="117">
        <f ca="1">'5. Model'!P41</f>
        <v>-1.5060989820371429</v>
      </c>
      <c r="J41" s="38">
        <v>39</v>
      </c>
      <c r="K41" s="37">
        <f t="shared" ca="1" si="4"/>
        <v>-1.5060989820371429</v>
      </c>
      <c r="L41" s="35">
        <f t="shared" ca="1" si="5"/>
        <v>-1.5048485712020259</v>
      </c>
      <c r="M41" s="35"/>
    </row>
    <row r="42" spans="1:13">
      <c r="A42" s="115">
        <v>40</v>
      </c>
      <c r="B42" s="117">
        <f ca="1">'5. Model'!P42</f>
        <v>4.2989304565451194</v>
      </c>
      <c r="J42" s="38">
        <v>40</v>
      </c>
      <c r="K42" s="37">
        <f t="shared" ca="1" si="4"/>
        <v>4.2989304565451194</v>
      </c>
      <c r="L42" s="35">
        <f t="shared" ca="1" si="5"/>
        <v>4.3001808673802362</v>
      </c>
      <c r="M42" s="35"/>
    </row>
    <row r="43" spans="1:13">
      <c r="A43" s="115">
        <v>41</v>
      </c>
      <c r="B43" s="117">
        <f ca="1">'5. Model'!P43</f>
        <v>-2.8326605259801476</v>
      </c>
      <c r="J43" s="38">
        <v>41</v>
      </c>
      <c r="K43" s="37">
        <f t="shared" ca="1" si="4"/>
        <v>-2.8326605259801476</v>
      </c>
      <c r="L43" s="35">
        <f t="shared" ca="1" si="5"/>
        <v>-2.8314101151450308</v>
      </c>
      <c r="M43" s="35"/>
    </row>
    <row r="44" spans="1:13">
      <c r="A44" s="115">
        <v>42</v>
      </c>
      <c r="B44" s="117">
        <f ca="1">'5. Model'!P44</f>
        <v>0.63600502243409651</v>
      </c>
      <c r="J44" s="38">
        <v>42</v>
      </c>
      <c r="K44" s="37">
        <f t="shared" ca="1" si="4"/>
        <v>0.63600502243409651</v>
      </c>
      <c r="L44" s="35">
        <f t="shared" ca="1" si="5"/>
        <v>0.63725543326921341</v>
      </c>
      <c r="M44" s="35"/>
    </row>
    <row r="45" spans="1:13">
      <c r="A45" s="115">
        <v>43</v>
      </c>
      <c r="B45" s="117">
        <f ca="1">'5. Model'!P45</f>
        <v>4.7168061441586646</v>
      </c>
      <c r="J45" s="38">
        <v>43</v>
      </c>
      <c r="K45" s="37">
        <f t="shared" ca="1" si="4"/>
        <v>4.7168061441586646</v>
      </c>
      <c r="L45" s="35">
        <f t="shared" ca="1" si="5"/>
        <v>4.7180565549937814</v>
      </c>
      <c r="M45" s="35"/>
    </row>
    <row r="46" spans="1:13">
      <c r="A46" s="115">
        <v>44</v>
      </c>
      <c r="B46" s="117">
        <f ca="1">'5. Model'!P46</f>
        <v>-0.41275558617216479</v>
      </c>
      <c r="J46" s="38">
        <v>44</v>
      </c>
      <c r="K46" s="37">
        <f t="shared" ca="1" si="4"/>
        <v>-0.41275558617216479</v>
      </c>
      <c r="L46" s="35">
        <f t="shared" ca="1" si="5"/>
        <v>-0.41150517533704789</v>
      </c>
      <c r="M46" s="35"/>
    </row>
    <row r="47" spans="1:13">
      <c r="A47" s="115">
        <v>45</v>
      </c>
      <c r="B47" s="117">
        <f ca="1">'5. Model'!P47</f>
        <v>-2.558244319956728</v>
      </c>
      <c r="J47" s="38">
        <v>45</v>
      </c>
      <c r="K47" s="37">
        <f t="shared" ca="1" si="4"/>
        <v>-2.558244319956728</v>
      </c>
      <c r="L47" s="35">
        <f t="shared" ca="1" si="5"/>
        <v>-2.5569939091216112</v>
      </c>
      <c r="M47" s="35"/>
    </row>
    <row r="48" spans="1:13">
      <c r="A48" s="115">
        <v>46</v>
      </c>
      <c r="B48" s="117">
        <f ca="1">'5. Model'!P48</f>
        <v>-3.1836879007180863</v>
      </c>
      <c r="J48" s="38">
        <v>46</v>
      </c>
      <c r="K48" s="37">
        <f t="shared" ca="1" si="4"/>
        <v>-3.1836879007180863</v>
      </c>
      <c r="L48" s="35">
        <f t="shared" ca="1" si="5"/>
        <v>-3.1824374898829695</v>
      </c>
      <c r="M48" s="35"/>
    </row>
    <row r="49" spans="1:13">
      <c r="A49" s="115">
        <v>47</v>
      </c>
      <c r="B49" s="117">
        <f ca="1">'5. Model'!P49</f>
        <v>-3.9150894153594762</v>
      </c>
      <c r="J49" s="38">
        <v>47</v>
      </c>
      <c r="K49" s="37">
        <f t="shared" ca="1" si="4"/>
        <v>-3.9150894153594762</v>
      </c>
      <c r="L49" s="35">
        <f t="shared" ca="1" si="5"/>
        <v>-3.9138390045243594</v>
      </c>
      <c r="M49" s="35"/>
    </row>
    <row r="50" spans="1:13">
      <c r="A50" s="115">
        <v>48</v>
      </c>
      <c r="B50" s="117">
        <f ca="1">'5. Model'!P50</f>
        <v>1.3065784694694953</v>
      </c>
      <c r="J50" s="38">
        <v>48</v>
      </c>
      <c r="K50" s="37">
        <f t="shared" ca="1" si="4"/>
        <v>1.3065784694694953</v>
      </c>
      <c r="L50" s="35">
        <f t="shared" ca="1" si="5"/>
        <v>1.3078288803046123</v>
      </c>
      <c r="M50" s="35"/>
    </row>
    <row r="51" spans="1:13">
      <c r="A51" s="115">
        <v>49</v>
      </c>
      <c r="B51" s="117">
        <f ca="1">'5. Model'!P51</f>
        <v>1.6513301655206349</v>
      </c>
      <c r="J51" s="38">
        <v>49</v>
      </c>
      <c r="K51" s="37">
        <f t="shared" ca="1" si="4"/>
        <v>1.6513301655206349</v>
      </c>
      <c r="L51" s="35">
        <f t="shared" ca="1" si="5"/>
        <v>1.652580576355752</v>
      </c>
      <c r="M51" s="35"/>
    </row>
    <row r="52" spans="1:13">
      <c r="A52" s="115">
        <v>50</v>
      </c>
      <c r="B52" s="117">
        <f ca="1">'5. Model'!P52</f>
        <v>0.70420024939691706</v>
      </c>
      <c r="J52" s="38">
        <v>50</v>
      </c>
      <c r="K52" s="37">
        <f t="shared" ref="K52" ca="1" si="10">B52</f>
        <v>0.70420024939691706</v>
      </c>
      <c r="L52" s="35">
        <f t="shared" ref="L52" ca="1" si="11">K52-AVERAGE($K$4:$K$51)</f>
        <v>0.70545066023203395</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9"/>
  <sheetViews>
    <sheetView zoomScale="90" zoomScaleNormal="90" workbookViewId="0">
      <selection activeCell="L31" sqref="L31"/>
    </sheetView>
  </sheetViews>
  <sheetFormatPr defaultColWidth="8.85546875" defaultRowHeight="15"/>
  <cols>
    <col min="1" max="1" width="5.28515625" style="15" customWidth="1"/>
    <col min="2" max="7" width="11.28515625" style="15" customWidth="1"/>
    <col min="8" max="8" width="21" style="15" customWidth="1"/>
    <col min="9" max="16384" width="8.85546875" style="15"/>
  </cols>
  <sheetData>
    <row r="1" spans="1:9">
      <c r="A1" s="1" t="s">
        <v>253</v>
      </c>
      <c r="B1" s="1"/>
      <c r="C1" s="1"/>
      <c r="D1" s="276" t="s">
        <v>264</v>
      </c>
      <c r="E1" s="277">
        <v>1</v>
      </c>
      <c r="F1" s="1"/>
      <c r="G1" s="1"/>
    </row>
    <row r="2" spans="1:9">
      <c r="A2" s="1" t="s">
        <v>262</v>
      </c>
      <c r="B2" s="1"/>
      <c r="C2" s="277">
        <f>'5. Model'!B2</f>
        <v>50</v>
      </c>
      <c r="D2" s="276" t="s">
        <v>265</v>
      </c>
      <c r="E2" s="277">
        <v>1</v>
      </c>
      <c r="F2" s="1">
        <f>1/SQRT(C2)</f>
        <v>0.1414213562373095</v>
      </c>
      <c r="G2" s="278" t="s">
        <v>254</v>
      </c>
    </row>
    <row r="3" spans="1:9">
      <c r="A3" s="1" t="s">
        <v>263</v>
      </c>
      <c r="B3" s="1"/>
      <c r="C3" s="277">
        <f ca="1">COUNT(B6:B25)</f>
        <v>20</v>
      </c>
      <c r="D3" s="276" t="s">
        <v>266</v>
      </c>
      <c r="E3" s="277">
        <f ca="1">C3-E1-E2</f>
        <v>18</v>
      </c>
      <c r="F3" s="1"/>
      <c r="G3" s="1"/>
    </row>
    <row r="4" spans="1:9">
      <c r="A4" s="1" t="s">
        <v>267</v>
      </c>
      <c r="B4" s="1"/>
      <c r="C4" s="277">
        <v>0</v>
      </c>
      <c r="D4" s="1"/>
      <c r="E4" s="1"/>
      <c r="F4" s="1"/>
      <c r="G4" s="1"/>
    </row>
    <row r="5" spans="1:9">
      <c r="A5" s="268" t="s">
        <v>255</v>
      </c>
      <c r="B5" s="1" t="s">
        <v>256</v>
      </c>
      <c r="C5" s="269" t="s">
        <v>257</v>
      </c>
      <c r="D5" s="270" t="s">
        <v>400</v>
      </c>
      <c r="E5" s="270" t="s">
        <v>258</v>
      </c>
      <c r="F5" s="270" t="s">
        <v>259</v>
      </c>
      <c r="G5" s="50" t="s">
        <v>260</v>
      </c>
      <c r="H5" s="50" t="s">
        <v>261</v>
      </c>
      <c r="I5" s="271"/>
    </row>
    <row r="6" spans="1:9">
      <c r="A6" s="15">
        <v>1</v>
      </c>
      <c r="B6" s="272">
        <f ca="1">'6. Residual'!N3</f>
        <v>1.2555583906271321E-3</v>
      </c>
      <c r="C6" s="273">
        <f ca="1">'6. Residual'!S3</f>
        <v>1.2555583906271321E-3</v>
      </c>
      <c r="D6" s="274">
        <f ca="1">$C$2*($C$2+2)*SUMPRODUCT(($B$6:B6)^2,1/($C$2-($A$6:A6)))</f>
        <v>8.3647140161487838E-5</v>
      </c>
      <c r="E6" s="321">
        <f ca="1">_xlfn.CHISQ.DIST.RT(D6,A6)</f>
        <v>0.99270274444867379</v>
      </c>
      <c r="F6" s="273">
        <f ca="1">B6/$F$2</f>
        <v>8.8781385218811328E-3</v>
      </c>
      <c r="G6" s="273">
        <f ca="1">_xlfn.T.DIST.2T(ABS(F6),$E$3)</f>
        <v>0.99301402254485427</v>
      </c>
      <c r="H6" s="271" t="str">
        <f ca="1">IF(G6&lt;0.05,"Significant","Non-significant")</f>
        <v>Non-significant</v>
      </c>
      <c r="I6" s="271"/>
    </row>
    <row r="7" spans="1:9">
      <c r="A7" s="15">
        <v>2</v>
      </c>
      <c r="B7" s="272">
        <f ca="1">'6. Residual'!N4</f>
        <v>-7.8456736967488352E-2</v>
      </c>
      <c r="C7" s="273">
        <f ca="1">'6. Residual'!S4</f>
        <v>-7.8458437078349194E-2</v>
      </c>
      <c r="D7" s="274">
        <f ca="1">$C$2*($C$2+2)*SUMPRODUCT(($B$6:B7)^2,1/($C$2-($A$6:A7)))</f>
        <v>0.33350437415105105</v>
      </c>
      <c r="E7" s="321">
        <f t="shared" ref="E7:E25" ca="1" si="0">_xlfn.CHISQ.DIST.RT(D7,A7)</f>
        <v>0.84640933652279537</v>
      </c>
      <c r="F7" s="273">
        <f t="shared" ref="F7:F22" ca="1" si="1">B7/$F$2</f>
        <v>-0.55477290739480301</v>
      </c>
      <c r="G7" s="273">
        <f t="shared" ref="G7:G25" ca="1" si="2">_xlfn.T.DIST.2T(ABS(F7),$E$3)</f>
        <v>0.58587833967561154</v>
      </c>
      <c r="H7" s="271" t="str">
        <f t="shared" ref="H7:H22" ca="1" si="3">IF(G7&lt;0.05,"Significant","Non-significant")</f>
        <v>Non-significant</v>
      </c>
      <c r="I7" s="271"/>
    </row>
    <row r="8" spans="1:9">
      <c r="A8" s="15">
        <v>3</v>
      </c>
      <c r="B8" s="272">
        <f ca="1">'6. Residual'!N5</f>
        <v>0.24298706436360706</v>
      </c>
      <c r="C8" s="273">
        <f ca="1">'6. Residual'!S5</f>
        <v>0.24469848954771056</v>
      </c>
      <c r="D8" s="274">
        <f ca="1">$C$2*($C$2+2)*SUMPRODUCT(($B$6:B8)^2,1/($C$2-($A$6:A8)))</f>
        <v>3.5996970329790017</v>
      </c>
      <c r="E8" s="321">
        <f t="shared" ca="1" si="0"/>
        <v>0.3080600812602744</v>
      </c>
      <c r="F8" s="273">
        <f t="shared" ca="1" si="1"/>
        <v>1.7181780095211865</v>
      </c>
      <c r="G8" s="273">
        <f t="shared" ca="1" si="2"/>
        <v>0.1029171544571018</v>
      </c>
      <c r="H8" s="271" t="str">
        <f t="shared" ca="1" si="3"/>
        <v>Non-significant</v>
      </c>
      <c r="I8" s="271"/>
    </row>
    <row r="9" spans="1:9">
      <c r="A9" s="15">
        <v>4</v>
      </c>
      <c r="B9" s="272">
        <f ca="1">'6. Residual'!N6</f>
        <v>-0.15379790085119524</v>
      </c>
      <c r="C9" s="273">
        <f ca="1">'6. Residual'!S6</f>
        <v>-0.17689687321689221</v>
      </c>
      <c r="D9" s="274">
        <f ca="1">$C$2*($C$2+2)*SUMPRODUCT(($B$6:B9)^2,1/($C$2-($A$6:A9)))</f>
        <v>4.9366506242009276</v>
      </c>
      <c r="E9" s="321">
        <f t="shared" ca="1" si="0"/>
        <v>0.29385951862932458</v>
      </c>
      <c r="F9" s="273">
        <f t="shared" ca="1" si="1"/>
        <v>-1.0875153862413645</v>
      </c>
      <c r="G9" s="273">
        <f t="shared" ca="1" si="2"/>
        <v>0.29115745014746419</v>
      </c>
      <c r="H9" s="271" t="str">
        <f t="shared" ca="1" si="3"/>
        <v>Non-significant</v>
      </c>
      <c r="I9" s="271"/>
    </row>
    <row r="10" spans="1:9">
      <c r="A10" s="15">
        <v>5</v>
      </c>
      <c r="B10" s="272">
        <f ca="1">'6. Residual'!N7</f>
        <v>-8.1684079920489955E-2</v>
      </c>
      <c r="C10" s="273">
        <f ca="1">'6. Residual'!S7</f>
        <v>-3.2735289454757101E-2</v>
      </c>
      <c r="D10" s="274">
        <f ca="1">$C$2*($C$2+2)*SUMPRODUCT(($B$6:B10)^2,1/($C$2-($A$6:A10)))</f>
        <v>5.3221606502539993</v>
      </c>
      <c r="E10" s="321">
        <f t="shared" ca="1" si="0"/>
        <v>0.37784072591965578</v>
      </c>
      <c r="F10" s="273">
        <f t="shared" ca="1" si="1"/>
        <v>-0.57759366826762348</v>
      </c>
      <c r="G10" s="273">
        <f t="shared" ca="1" si="2"/>
        <v>0.5706936767012678</v>
      </c>
      <c r="H10" s="271" t="str">
        <f t="shared" ca="1" si="3"/>
        <v>Non-significant</v>
      </c>
      <c r="I10" s="271"/>
    </row>
    <row r="11" spans="1:9">
      <c r="A11" s="15">
        <v>6</v>
      </c>
      <c r="B11" s="272">
        <f ca="1">'6. Residual'!N8</f>
        <v>0.21583725047463545</v>
      </c>
      <c r="C11" s="273">
        <f ca="1">'6. Residual'!S8</f>
        <v>0.1485298215993352</v>
      </c>
      <c r="D11" s="274">
        <f ca="1">$C$2*($C$2+2)*SUMPRODUCT(($B$6:B11)^2,1/($C$2-($A$6:A11)))</f>
        <v>8.074953118444256</v>
      </c>
      <c r="E11" s="321">
        <f t="shared" ca="1" si="0"/>
        <v>0.23266333474551024</v>
      </c>
      <c r="F11" s="273">
        <f t="shared" ca="1" si="1"/>
        <v>1.526199834432741</v>
      </c>
      <c r="G11" s="273">
        <f t="shared" ca="1" si="2"/>
        <v>0.14433982583415003</v>
      </c>
      <c r="H11" s="271" t="str">
        <f t="shared" ca="1" si="3"/>
        <v>Non-significant</v>
      </c>
      <c r="I11" s="271"/>
    </row>
    <row r="12" spans="1:9">
      <c r="A12" s="15">
        <v>7</v>
      </c>
      <c r="B12" s="272">
        <f ca="1">'6. Residual'!N9</f>
        <v>-0.21284710189286604</v>
      </c>
      <c r="C12" s="273">
        <f ca="1">'6. Residual'!S9</f>
        <v>-0.18446536713638362</v>
      </c>
      <c r="D12" s="274">
        <f ca="1">$C$2*($C$2+2)*SUMPRODUCT(($B$6:B12)^2,1/($C$2-($A$6:A12)))</f>
        <v>10.814258021674476</v>
      </c>
      <c r="E12" s="321">
        <f t="shared" ca="1" si="0"/>
        <v>0.14692870821793391</v>
      </c>
      <c r="F12" s="273">
        <f t="shared" ca="1" si="1"/>
        <v>-1.5050562910434961</v>
      </c>
      <c r="G12" s="273">
        <f t="shared" ca="1" si="2"/>
        <v>0.14965551506893174</v>
      </c>
      <c r="H12" s="271" t="str">
        <f t="shared" ca="1" si="3"/>
        <v>Non-significant</v>
      </c>
      <c r="I12" s="271"/>
    </row>
    <row r="13" spans="1:9">
      <c r="A13" s="15">
        <v>8</v>
      </c>
      <c r="B13" s="272">
        <f ca="1">'6. Residual'!N10</f>
        <v>6.0230865172104527E-2</v>
      </c>
      <c r="C13" s="273">
        <f ca="1">'6. Residual'!S10</f>
        <v>0.13443132128243632</v>
      </c>
      <c r="D13" s="274">
        <f ca="1">$C$2*($C$2+2)*SUMPRODUCT(($B$6:B13)^2,1/($C$2-($A$6:A13)))</f>
        <v>11.038833462398014</v>
      </c>
      <c r="E13" s="321">
        <f t="shared" ca="1" si="0"/>
        <v>0.19950853604784072</v>
      </c>
      <c r="F13" s="273">
        <f t="shared" ca="1" si="1"/>
        <v>0.42589653199927763</v>
      </c>
      <c r="G13" s="273">
        <f ca="1">_xlfn.T.DIST.2T(ABS(F13),$E$3)</f>
        <v>0.67523239329813034</v>
      </c>
      <c r="H13" s="271" t="str">
        <f t="shared" ca="1" si="3"/>
        <v>Non-significant</v>
      </c>
      <c r="I13" s="271"/>
    </row>
    <row r="14" spans="1:9">
      <c r="A14" s="15">
        <v>9</v>
      </c>
      <c r="B14" s="272">
        <f ca="1">'6. Residual'!N11</f>
        <v>5.6317814831058799E-2</v>
      </c>
      <c r="C14" s="273">
        <f ca="1">'6. Residual'!S11</f>
        <v>-0.10323104089232493</v>
      </c>
      <c r="D14" s="274">
        <f ca="1">$C$2*($C$2+2)*SUMPRODUCT(($B$6:B14)^2,1/($C$2-($A$6:A14)))</f>
        <v>11.239965420815041</v>
      </c>
      <c r="E14" s="321">
        <f t="shared" ca="1" si="0"/>
        <v>0.25961854872071005</v>
      </c>
      <c r="F14" s="273">
        <f t="shared" ca="1" si="1"/>
        <v>0.39822708768649995</v>
      </c>
      <c r="G14" s="273">
        <f t="shared" ca="1" si="2"/>
        <v>0.69514662845433017</v>
      </c>
      <c r="H14" s="271" t="str">
        <f t="shared" ca="1" si="3"/>
        <v>Non-significant</v>
      </c>
      <c r="I14" s="271"/>
    </row>
    <row r="15" spans="1:9">
      <c r="A15" s="15">
        <v>10</v>
      </c>
      <c r="B15" s="272">
        <f ca="1">'6. Residual'!N12</f>
        <v>-0.19997163099171281</v>
      </c>
      <c r="C15" s="273">
        <f ca="1">'6. Residual'!S12</f>
        <v>-5.9317200169084421E-2</v>
      </c>
      <c r="D15" s="274">
        <f ca="1">$C$2*($C$2+2)*SUMPRODUCT(($B$6:B15)^2,1/($C$2-($A$6:A15)))</f>
        <v>13.839227878911615</v>
      </c>
      <c r="E15" s="321">
        <f t="shared" ca="1" si="0"/>
        <v>0.18045204048589442</v>
      </c>
      <c r="F15" s="273">
        <f t="shared" ca="1" si="1"/>
        <v>-1.4140129631917409</v>
      </c>
      <c r="G15" s="273">
        <f t="shared" ca="1" si="2"/>
        <v>0.17442151174930587</v>
      </c>
      <c r="H15" s="271" t="str">
        <f t="shared" ca="1" si="3"/>
        <v>Non-significant</v>
      </c>
      <c r="I15" s="271"/>
    </row>
    <row r="16" spans="1:9">
      <c r="A16" s="15">
        <v>11</v>
      </c>
      <c r="B16" s="272">
        <f ca="1">'6. Residual'!N13</f>
        <v>2.5422833194614983E-2</v>
      </c>
      <c r="C16" s="273">
        <f ca="1">'6. Residual'!S13</f>
        <v>-1.7460245728692512E-2</v>
      </c>
      <c r="D16" s="274">
        <f ca="1">$C$2*($C$2+2)*SUMPRODUCT(($B$6:B16)^2,1/($C$2-($A$6:A16)))</f>
        <v>13.882315908754363</v>
      </c>
      <c r="E16" s="321">
        <f t="shared" ca="1" si="0"/>
        <v>0.23957397775048811</v>
      </c>
      <c r="F16" s="273">
        <f t="shared" ca="1" si="1"/>
        <v>0.17976657748886712</v>
      </c>
      <c r="G16" s="273">
        <f ca="1">_xlfn.T.DIST.2T(ABS(F16),$E$3)</f>
        <v>0.85934405212819676</v>
      </c>
      <c r="H16" s="271" t="str">
        <f t="shared" ca="1" si="3"/>
        <v>Non-significant</v>
      </c>
      <c r="I16" s="271"/>
    </row>
    <row r="17" spans="1:9">
      <c r="A17" s="15">
        <v>12</v>
      </c>
      <c r="B17" s="272">
        <f ca="1">'6. Residual'!N14</f>
        <v>0.12146036913349774</v>
      </c>
      <c r="C17" s="273">
        <f ca="1">'6. Residual'!S14</f>
        <v>7.3965895352806427E-2</v>
      </c>
      <c r="D17" s="274">
        <f ca="1">$C$2*($C$2+2)*SUMPRODUCT(($B$6:B17)^2,1/($C$2-($A$6:A17)))</f>
        <v>14.891705785125898</v>
      </c>
      <c r="E17" s="321">
        <f t="shared" ca="1" si="0"/>
        <v>0.24741227628642315</v>
      </c>
      <c r="F17" s="273">
        <f t="shared" ca="1" si="1"/>
        <v>0.85885450659717477</v>
      </c>
      <c r="G17" s="273">
        <f t="shared" ca="1" si="2"/>
        <v>0.40171381070246126</v>
      </c>
      <c r="H17" s="271" t="str">
        <f t="shared" ca="1" si="3"/>
        <v>Non-significant</v>
      </c>
      <c r="I17" s="271"/>
    </row>
    <row r="18" spans="1:9">
      <c r="A18" s="15">
        <v>13</v>
      </c>
      <c r="B18" s="272">
        <f ca="1">'6. Residual'!N15</f>
        <v>-8.648184724741094E-2</v>
      </c>
      <c r="C18" s="273">
        <f ca="1">'6. Residual'!S15</f>
        <v>4.0880994885752829E-2</v>
      </c>
      <c r="D18" s="274">
        <f ca="1">$C$2*($C$2+2)*SUMPRODUCT(($B$6:B18)^2,1/($C$2-($A$6:A18)))</f>
        <v>15.417264859413567</v>
      </c>
      <c r="E18" s="321">
        <f t="shared" ca="1" si="0"/>
        <v>0.28203263522510513</v>
      </c>
      <c r="F18" s="273">
        <f t="shared" ca="1" si="1"/>
        <v>-0.61151900638183432</v>
      </c>
      <c r="G18" s="273">
        <f t="shared" ca="1" si="2"/>
        <v>0.54850238736653356</v>
      </c>
      <c r="H18" s="271" t="str">
        <f t="shared" ca="1" si="3"/>
        <v>Non-significant</v>
      </c>
      <c r="I18" s="271"/>
    </row>
    <row r="19" spans="1:9">
      <c r="A19" s="15">
        <v>14</v>
      </c>
      <c r="B19" s="272">
        <f ca="1">'6. Residual'!N16</f>
        <v>1.1318653509035794E-2</v>
      </c>
      <c r="C19" s="273">
        <f ca="1">'6. Residual'!S16</f>
        <v>-0.10006403173663689</v>
      </c>
      <c r="D19" s="274">
        <f ca="1">$C$2*($C$2+2)*SUMPRODUCT(($B$6:B19)^2,1/($C$2-($A$6:A19)))</f>
        <v>15.426517386771062</v>
      </c>
      <c r="E19" s="321">
        <f t="shared" ca="1" si="0"/>
        <v>0.34963387597196793</v>
      </c>
      <c r="F19" s="273">
        <f t="shared" ca="1" si="1"/>
        <v>8.0034966501401211E-2</v>
      </c>
      <c r="G19" s="273">
        <f ca="1">_xlfn.T.DIST.2T(ABS(F19),$E$3)</f>
        <v>0.93709257414787495</v>
      </c>
      <c r="H19" s="271" t="str">
        <f t="shared" ca="1" si="3"/>
        <v>Non-significant</v>
      </c>
      <c r="I19" s="271"/>
    </row>
    <row r="20" spans="1:9">
      <c r="A20" s="15">
        <v>15</v>
      </c>
      <c r="B20" s="272">
        <f ca="1">'6. Residual'!N17</f>
        <v>-1.0770071306309128E-2</v>
      </c>
      <c r="C20" s="273">
        <f ca="1">'6. Residual'!S17</f>
        <v>-1.484298872714993E-2</v>
      </c>
      <c r="D20" s="274">
        <f ca="1">$C$2*($C$2+2)*SUMPRODUCT(($B$6:B20)^2,1/($C$2-($A$6:A20)))</f>
        <v>15.435134116298254</v>
      </c>
      <c r="E20" s="321">
        <f t="shared" ca="1" si="0"/>
        <v>0.42055133423215002</v>
      </c>
      <c r="F20" s="273">
        <f t="shared" ca="1" si="1"/>
        <v>-7.615590454553843E-2</v>
      </c>
      <c r="G20" s="273">
        <f t="shared" ca="1" si="2"/>
        <v>0.94013514022351585</v>
      </c>
      <c r="H20" s="271" t="str">
        <f t="shared" ca="1" si="3"/>
        <v>Non-significant</v>
      </c>
      <c r="I20" s="271"/>
    </row>
    <row r="21" spans="1:9">
      <c r="A21" s="15">
        <v>16</v>
      </c>
      <c r="B21" s="272">
        <f ca="1">'6. Residual'!N18</f>
        <v>-7.6643690697744613E-3</v>
      </c>
      <c r="C21" s="273">
        <f ca="1">'6. Residual'!S18</f>
        <v>5.9983552018448211E-2</v>
      </c>
      <c r="D21" s="274">
        <f ca="1">$C$2*($C$2+2)*SUMPRODUCT(($B$6:B21)^2,1/($C$2-($A$6:A21)))</f>
        <v>15.439626193898784</v>
      </c>
      <c r="E21" s="321">
        <f t="shared" ca="1" si="0"/>
        <v>0.49270566783023961</v>
      </c>
      <c r="F21" s="273">
        <f t="shared" ca="1" si="1"/>
        <v>-5.4195273427539527E-2</v>
      </c>
      <c r="G21" s="273">
        <f t="shared" ca="1" si="2"/>
        <v>0.95737657475978233</v>
      </c>
      <c r="H21" s="271" t="str">
        <f t="shared" ca="1" si="3"/>
        <v>Non-significant</v>
      </c>
      <c r="I21" s="271"/>
    </row>
    <row r="22" spans="1:9">
      <c r="A22" s="15">
        <v>17</v>
      </c>
      <c r="B22" s="272">
        <f ca="1">'6. Residual'!N19</f>
        <v>8.5694800881287725E-2</v>
      </c>
      <c r="C22" s="273">
        <f ca="1">'6. Residual'!S19</f>
        <v>6.1627151662895945E-2</v>
      </c>
      <c r="D22" s="274">
        <f ca="1">$C$2*($C$2+2)*SUMPRODUCT(($B$6:B22)^2,1/($C$2-($A$6:A22)))</f>
        <v>16.018212773747791</v>
      </c>
      <c r="E22" s="321">
        <f t="shared" ca="1" si="0"/>
        <v>0.52254416204795062</v>
      </c>
      <c r="F22" s="273">
        <f t="shared" ca="1" si="1"/>
        <v>0.60595374815589476</v>
      </c>
      <c r="G22" s="273">
        <f t="shared" ca="1" si="2"/>
        <v>0.55211085088607648</v>
      </c>
      <c r="H22" s="271" t="str">
        <f t="shared" ca="1" si="3"/>
        <v>Non-significant</v>
      </c>
      <c r="I22" s="271"/>
    </row>
    <row r="23" spans="1:9">
      <c r="A23" s="15">
        <v>18</v>
      </c>
      <c r="B23" s="272">
        <f ca="1">'6. Residual'!N20</f>
        <v>0.14434433131953642</v>
      </c>
      <c r="C23" s="273">
        <f ca="1">'6. Residual'!S20</f>
        <v>4.2127259878212323E-2</v>
      </c>
      <c r="D23" s="274">
        <f ca="1">$C$2*($C$2+2)*SUMPRODUCT(($B$6:B23)^2,1/($C$2-($A$6:A23)))</f>
        <v>17.711079759954625</v>
      </c>
      <c r="E23" s="321">
        <f t="shared" ca="1" si="0"/>
        <v>0.47483294536176768</v>
      </c>
      <c r="F23" s="273">
        <f t="shared" ref="F23:F25" ca="1" si="4">B23/$F$2</f>
        <v>1.0206685550188195</v>
      </c>
      <c r="G23" s="273">
        <f ca="1">_xlfn.T.DIST.2T(ABS(F23),$E$3)</f>
        <v>0.32093455792105552</v>
      </c>
      <c r="H23" s="271" t="str">
        <f t="shared" ref="H23:H25" ca="1" si="5">IF(G23&lt;0.05,"Significant","Non-significant")</f>
        <v>Non-significant</v>
      </c>
      <c r="I23" s="271"/>
    </row>
    <row r="24" spans="1:9">
      <c r="A24" s="15">
        <v>19</v>
      </c>
      <c r="B24" s="272">
        <f ca="1">'6. Residual'!N21</f>
        <v>-0.13892344818650437</v>
      </c>
      <c r="C24" s="273">
        <f ca="1">'6. Residual'!S21</f>
        <v>2.4354524589318333E-2</v>
      </c>
      <c r="D24" s="274">
        <f ca="1">$C$2*($C$2+2)*SUMPRODUCT(($B$6:B24)^2,1/($C$2-($A$6:A24)))</f>
        <v>19.329766327234424</v>
      </c>
      <c r="E24" s="321">
        <f t="shared" ca="1" si="0"/>
        <v>0.43587232225962613</v>
      </c>
      <c r="F24" s="273">
        <f t="shared" ca="1" si="4"/>
        <v>-0.98233712278495222</v>
      </c>
      <c r="G24" s="273">
        <f t="shared" ca="1" si="2"/>
        <v>0.33895418041694603</v>
      </c>
      <c r="H24" s="271" t="str">
        <f t="shared" ca="1" si="5"/>
        <v>Non-significant</v>
      </c>
      <c r="I24" s="271"/>
    </row>
    <row r="25" spans="1:9">
      <c r="A25" s="15">
        <v>20</v>
      </c>
      <c r="B25" s="272">
        <f ca="1">'6. Residual'!N22</f>
        <v>3.6537189215572464E-4</v>
      </c>
      <c r="C25" s="273">
        <f ca="1">'6. Residual'!S22</f>
        <v>2.1591541146108038E-2</v>
      </c>
      <c r="D25" s="274">
        <f ca="1">$C$2*($C$2+2)*SUMPRODUCT(($B$6:B25)^2,1/($C$2-($A$6:A25)))</f>
        <v>19.329777896941451</v>
      </c>
      <c r="E25" s="321">
        <f t="shared" ca="1" si="0"/>
        <v>0.50049232361902685</v>
      </c>
      <c r="F25" s="273">
        <f t="shared" ca="1" si="4"/>
        <v>2.5835694259827282E-3</v>
      </c>
      <c r="G25" s="273">
        <f t="shared" ca="1" si="2"/>
        <v>0.99796703027309208</v>
      </c>
      <c r="H25" s="271" t="str">
        <f t="shared" ca="1" si="5"/>
        <v>Non-significant</v>
      </c>
      <c r="I25" s="271"/>
    </row>
    <row r="27" spans="1:9">
      <c r="C27" s="276" t="s">
        <v>268</v>
      </c>
      <c r="D27" s="279">
        <f ca="1">(C2-C4)*SUMSQ(B6:B25)</f>
        <v>15.243159504815592</v>
      </c>
      <c r="F27" s="1" t="s">
        <v>207</v>
      </c>
    </row>
    <row r="28" spans="1:9" ht="17.25">
      <c r="C28" s="275" t="s">
        <v>269</v>
      </c>
      <c r="D28" s="280">
        <f ca="1">_xlfn.CHISQ.DIST.RT(D27,E3)</f>
        <v>0.64520873160934888</v>
      </c>
      <c r="F28" s="15" t="s">
        <v>401</v>
      </c>
    </row>
    <row r="29" spans="1:9">
      <c r="F29" s="15" t="s">
        <v>347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220"/>
  <sheetViews>
    <sheetView zoomScale="70" zoomScaleNormal="70" workbookViewId="0">
      <selection activeCell="B2" sqref="B2"/>
    </sheetView>
  </sheetViews>
  <sheetFormatPr defaultRowHeight="15"/>
  <cols>
    <col min="1" max="1" width="6.7109375" customWidth="1"/>
    <col min="2" max="2" width="7.42578125" style="44" customWidth="1"/>
    <col min="7" max="7" width="8.85546875" style="123"/>
  </cols>
  <sheetData>
    <row r="1" spans="1:22" ht="18">
      <c r="A1" s="121" t="s">
        <v>190</v>
      </c>
      <c r="B1" s="56" t="s">
        <v>132</v>
      </c>
      <c r="C1" s="122" t="s">
        <v>188</v>
      </c>
      <c r="D1" s="122" t="s">
        <v>205</v>
      </c>
      <c r="E1" s="224" t="s">
        <v>212</v>
      </c>
      <c r="F1" s="225"/>
      <c r="G1" s="225"/>
      <c r="H1" s="225"/>
      <c r="I1" s="225"/>
      <c r="J1" s="225"/>
      <c r="K1" s="225"/>
      <c r="L1" s="225"/>
      <c r="M1" s="226"/>
      <c r="N1" s="132" t="s">
        <v>195</v>
      </c>
      <c r="O1" s="133" t="s">
        <v>196</v>
      </c>
      <c r="P1" s="134"/>
      <c r="Q1" s="132" t="s">
        <v>195</v>
      </c>
      <c r="R1" s="133" t="s">
        <v>196</v>
      </c>
      <c r="S1" s="134"/>
      <c r="T1" s="132" t="s">
        <v>195</v>
      </c>
      <c r="U1" s="133" t="s">
        <v>196</v>
      </c>
      <c r="V1" s="134"/>
    </row>
    <row r="2" spans="1:22">
      <c r="A2" s="115">
        <v>1</v>
      </c>
      <c r="B2" s="37">
        <f>'1. Autocorr'!B3</f>
        <v>1.2999999999999998</v>
      </c>
      <c r="C2" s="37">
        <f>B2</f>
        <v>1.2999999999999998</v>
      </c>
      <c r="D2" s="37">
        <f>B2-C2</f>
        <v>0</v>
      </c>
      <c r="E2" s="37"/>
      <c r="F2" s="37"/>
      <c r="G2" s="37"/>
      <c r="H2" s="37"/>
      <c r="I2" s="37"/>
      <c r="J2" s="37"/>
      <c r="K2" s="37"/>
      <c r="L2" s="37"/>
      <c r="M2" s="152"/>
      <c r="N2" s="149"/>
      <c r="O2" s="150"/>
      <c r="P2" s="151" t="s">
        <v>194</v>
      </c>
      <c r="Q2" s="149"/>
      <c r="R2" s="150"/>
      <c r="S2" s="151" t="s">
        <v>199</v>
      </c>
      <c r="T2" s="149"/>
      <c r="U2" s="150"/>
      <c r="V2" s="151" t="s">
        <v>200</v>
      </c>
    </row>
    <row r="3" spans="1:22" ht="18">
      <c r="A3" s="115">
        <v>2</v>
      </c>
      <c r="B3" s="37">
        <f>'1. Autocorr'!B4</f>
        <v>8.6</v>
      </c>
      <c r="C3" s="37">
        <f>$N$3*B2-$O$6*D2+AVERAGE($B$2:$B$51)*(1-$N$3)</f>
        <v>1.4361637613250777</v>
      </c>
      <c r="D3" s="37">
        <f>B3-C3</f>
        <v>7.1638362386749215</v>
      </c>
      <c r="E3" s="37"/>
      <c r="F3" s="37"/>
      <c r="G3" s="37"/>
      <c r="H3" s="37"/>
      <c r="I3" s="37"/>
      <c r="J3" s="37"/>
      <c r="K3" s="37"/>
      <c r="L3" s="37"/>
      <c r="M3" s="153" t="s">
        <v>149</v>
      </c>
      <c r="N3" s="158">
        <f>'2. Phi'!B8</f>
        <v>0.71605499035973796</v>
      </c>
      <c r="O3" s="125"/>
      <c r="P3" s="135"/>
      <c r="Q3" s="124">
        <f>'2. Phi'!B8</f>
        <v>0.71605499035973796</v>
      </c>
      <c r="R3" s="125"/>
      <c r="S3" s="135"/>
      <c r="T3" s="124">
        <f>'2. Phi'!B8</f>
        <v>0.71605499035973796</v>
      </c>
      <c r="U3" s="125"/>
      <c r="V3" s="135"/>
    </row>
    <row r="4" spans="1:22" ht="18">
      <c r="A4" s="115">
        <v>3</v>
      </c>
      <c r="B4" s="37">
        <f>'1. Autocorr'!B5</f>
        <v>12.132</v>
      </c>
      <c r="C4" s="37">
        <f>$N$3*B3-$O$6*D3+AVERAGE($B$2:$B$51)*(1-$N$3)</f>
        <v>6.6177375754583254</v>
      </c>
      <c r="D4" s="37">
        <f t="shared" ref="D4:D51" si="0">B4-C4</f>
        <v>5.5142624245416743</v>
      </c>
      <c r="E4" s="37"/>
      <c r="F4" s="37"/>
      <c r="G4" s="37"/>
      <c r="H4" s="37"/>
      <c r="I4" s="37"/>
      <c r="J4" s="37"/>
      <c r="K4" s="37"/>
      <c r="L4" s="37"/>
      <c r="M4" s="153" t="s">
        <v>147</v>
      </c>
      <c r="N4" s="124"/>
      <c r="O4" s="125"/>
      <c r="P4" s="126"/>
      <c r="Q4" s="124">
        <f>'2. Phi'!B9</f>
        <v>1E-3</v>
      </c>
      <c r="R4" s="125"/>
      <c r="S4" s="126"/>
      <c r="T4" s="124">
        <f>'2. Phi'!B9</f>
        <v>1E-3</v>
      </c>
      <c r="U4" s="125"/>
      <c r="V4" s="127"/>
    </row>
    <row r="5" spans="1:22" ht="18">
      <c r="A5" s="115">
        <v>4</v>
      </c>
      <c r="B5" s="37">
        <f>'1. Autocorr'!B6</f>
        <v>10.9696</v>
      </c>
      <c r="C5" s="37">
        <f t="shared" ref="C5:C51" si="1">$N$3*B4-$O$6*D4+AVERAGE($B$2:$B$51)*(1-$N$3)</f>
        <v>9.1573502001051938</v>
      </c>
      <c r="D5" s="37">
        <f t="shared" si="0"/>
        <v>1.8122497998948059</v>
      </c>
      <c r="E5" s="37"/>
      <c r="F5" s="37"/>
      <c r="G5" s="37"/>
      <c r="H5" s="37"/>
      <c r="I5" s="37"/>
      <c r="J5" s="37"/>
      <c r="K5" s="37"/>
      <c r="L5" s="37"/>
      <c r="M5" s="153" t="s">
        <v>145</v>
      </c>
      <c r="N5" s="124"/>
      <c r="O5" s="125"/>
      <c r="P5" s="126"/>
      <c r="Q5" s="124"/>
      <c r="R5" s="125"/>
      <c r="S5" s="126"/>
      <c r="T5" s="124">
        <f>'2. Phi'!B10</f>
        <v>1E-3</v>
      </c>
      <c r="U5" s="125"/>
      <c r="V5" s="127"/>
    </row>
    <row r="6" spans="1:22" ht="18">
      <c r="A6" s="115">
        <v>5</v>
      </c>
      <c r="B6" s="37">
        <f>'1. Autocorr'!B7</f>
        <v>7.8545599999999984</v>
      </c>
      <c r="C6" s="37">
        <f t="shared" si="1"/>
        <v>8.3485865881144434</v>
      </c>
      <c r="D6" s="37">
        <f t="shared" si="0"/>
        <v>-0.494026588114445</v>
      </c>
      <c r="E6" s="37"/>
      <c r="F6" s="37"/>
      <c r="G6" s="37"/>
      <c r="H6" s="37"/>
      <c r="I6" s="37"/>
      <c r="J6" s="37"/>
      <c r="K6" s="37"/>
      <c r="L6" s="37"/>
      <c r="M6" s="154" t="s">
        <v>72</v>
      </c>
      <c r="N6" s="128"/>
      <c r="O6" s="299">
        <f>'4. Sigma &amp; Theta'!B5</f>
        <v>6.3691594800161068E-3</v>
      </c>
      <c r="P6" s="130"/>
      <c r="Q6" s="128"/>
      <c r="R6" s="129">
        <f>'4. Sigma &amp; Theta'!B5</f>
        <v>6.3691594800161068E-3</v>
      </c>
      <c r="S6" s="130"/>
      <c r="T6" s="128"/>
      <c r="U6" s="129">
        <f>'4. Sigma &amp; Theta'!B5</f>
        <v>6.3691594800161068E-3</v>
      </c>
      <c r="V6" s="131"/>
    </row>
    <row r="7" spans="1:22">
      <c r="A7" s="115">
        <v>6</v>
      </c>
      <c r="B7" s="37">
        <f>'1. Autocorr'!B8</f>
        <v>6.9285119999999987</v>
      </c>
      <c r="C7" s="37">
        <f t="shared" si="1"/>
        <v>6.1327356930644692</v>
      </c>
      <c r="D7" s="37">
        <f t="shared" si="0"/>
        <v>0.79577630693552948</v>
      </c>
      <c r="E7" s="37"/>
      <c r="F7" s="37"/>
      <c r="G7" s="37"/>
      <c r="H7" s="37"/>
      <c r="I7" s="37"/>
      <c r="J7" s="37"/>
      <c r="K7" s="37"/>
      <c r="L7" s="37"/>
      <c r="M7" s="155"/>
      <c r="N7" s="147"/>
      <c r="O7" s="148"/>
      <c r="P7" s="143" t="s">
        <v>201</v>
      </c>
      <c r="Q7" s="147"/>
      <c r="R7" s="148"/>
      <c r="S7" s="143" t="s">
        <v>198</v>
      </c>
      <c r="T7" s="148"/>
      <c r="U7" s="148"/>
      <c r="V7" s="143" t="s">
        <v>202</v>
      </c>
    </row>
    <row r="8" spans="1:22" ht="18">
      <c r="A8" s="115">
        <v>7</v>
      </c>
      <c r="B8" s="37">
        <f>'1. Autocorr'!B9</f>
        <v>3.8660799999999984</v>
      </c>
      <c r="C8" s="37">
        <f t="shared" si="1"/>
        <v>5.4614194410154555</v>
      </c>
      <c r="D8" s="37">
        <f t="shared" si="0"/>
        <v>-1.5953394410154571</v>
      </c>
      <c r="E8" s="37"/>
      <c r="F8" s="37"/>
      <c r="G8" s="37"/>
      <c r="H8" s="37"/>
      <c r="I8" s="37"/>
      <c r="J8" s="37"/>
      <c r="K8" s="37"/>
      <c r="L8" s="37"/>
      <c r="M8" s="156" t="s">
        <v>149</v>
      </c>
      <c r="N8" s="137">
        <f>'2. Phi'!B19</f>
        <v>1E-3</v>
      </c>
      <c r="O8" s="136"/>
      <c r="P8" s="138"/>
      <c r="Q8" s="137">
        <f>'2. Phi'!B19</f>
        <v>1E-3</v>
      </c>
      <c r="R8" s="136"/>
      <c r="S8" s="138"/>
      <c r="T8" s="136">
        <f>'2. Phi'!B19</f>
        <v>1E-3</v>
      </c>
      <c r="U8" s="136"/>
      <c r="V8" s="138"/>
    </row>
    <row r="9" spans="1:22" ht="18">
      <c r="A9" s="115">
        <v>8</v>
      </c>
      <c r="B9" s="37">
        <f>'1. Autocorr'!B10</f>
        <v>2.9443020799999982</v>
      </c>
      <c r="C9" s="37">
        <f t="shared" si="1"/>
        <v>3.2837791223119805</v>
      </c>
      <c r="D9" s="37">
        <f t="shared" si="0"/>
        <v>-0.33947704231198239</v>
      </c>
      <c r="E9" s="37"/>
      <c r="F9" s="37"/>
      <c r="G9" s="37"/>
      <c r="H9" s="37"/>
      <c r="I9" s="37"/>
      <c r="J9" s="37"/>
      <c r="K9" s="37"/>
      <c r="L9" s="37"/>
      <c r="M9" s="156" t="s">
        <v>147</v>
      </c>
      <c r="N9" s="137"/>
      <c r="O9" s="136"/>
      <c r="P9" s="139"/>
      <c r="Q9" s="137">
        <f>'2. Phi'!B20</f>
        <v>1E-3</v>
      </c>
      <c r="R9" s="136"/>
      <c r="S9" s="139"/>
      <c r="T9" s="136">
        <f>'2. Phi'!B20</f>
        <v>1E-3</v>
      </c>
      <c r="U9" s="136"/>
      <c r="V9" s="139"/>
    </row>
    <row r="10" spans="1:22" ht="18">
      <c r="A10" s="115">
        <v>9</v>
      </c>
      <c r="B10" s="37">
        <f>'1. Autocorr'!B11</f>
        <v>-0.12313113600000225</v>
      </c>
      <c r="C10" s="37">
        <f t="shared" si="1"/>
        <v>2.6157366547902625</v>
      </c>
      <c r="D10" s="37">
        <f t="shared" si="0"/>
        <v>-2.7388677907902648</v>
      </c>
      <c r="E10" s="37"/>
      <c r="F10" s="37"/>
      <c r="G10" s="37"/>
      <c r="H10" s="37"/>
      <c r="I10" s="37"/>
      <c r="J10" s="37"/>
      <c r="K10" s="37"/>
      <c r="L10" s="37"/>
      <c r="M10" s="156" t="s">
        <v>145</v>
      </c>
      <c r="N10" s="137"/>
      <c r="O10" s="136"/>
      <c r="P10" s="139"/>
      <c r="Q10" s="137"/>
      <c r="R10" s="136"/>
      <c r="S10" s="139"/>
      <c r="T10" s="136">
        <f>'2. Phi'!B21</f>
        <v>1E-3</v>
      </c>
      <c r="U10" s="136"/>
      <c r="V10" s="139"/>
    </row>
    <row r="11" spans="1:22" ht="18">
      <c r="A11" s="115">
        <v>10</v>
      </c>
      <c r="B11" s="37">
        <f>'1. Autocorr'!B12</f>
        <v>4.9504067583999998</v>
      </c>
      <c r="C11" s="37">
        <f t="shared" si="1"/>
        <v>0.43456789521017586</v>
      </c>
      <c r="D11" s="37">
        <f t="shared" si="0"/>
        <v>4.5158388631898241</v>
      </c>
      <c r="E11" s="37"/>
      <c r="F11" s="37"/>
      <c r="G11" s="37"/>
      <c r="H11" s="37"/>
      <c r="I11" s="37"/>
      <c r="J11" s="37"/>
      <c r="K11" s="37"/>
      <c r="L11" s="37"/>
      <c r="M11" s="155" t="s">
        <v>72</v>
      </c>
      <c r="N11" s="137"/>
      <c r="O11" s="136">
        <f>'4. Sigma &amp; Theta'!B12</f>
        <v>1E-3</v>
      </c>
      <c r="P11" s="139"/>
      <c r="Q11" s="137"/>
      <c r="R11" s="136">
        <f>'4. Sigma &amp; Theta'!B12</f>
        <v>1E-3</v>
      </c>
      <c r="S11" s="139"/>
      <c r="T11" s="136"/>
      <c r="U11" s="136">
        <f>'4. Sigma &amp; Theta'!B12</f>
        <v>1E-3</v>
      </c>
      <c r="V11" s="139"/>
    </row>
    <row r="12" spans="1:22" ht="18">
      <c r="A12" s="115">
        <v>11</v>
      </c>
      <c r="B12" s="37">
        <f>'1. Autocorr'!B13</f>
        <v>3.2800263884799983</v>
      </c>
      <c r="C12" s="37">
        <f t="shared" si="1"/>
        <v>4.0212936396146013</v>
      </c>
      <c r="D12" s="37">
        <f t="shared" si="0"/>
        <v>-0.74126725113460301</v>
      </c>
      <c r="E12" s="37"/>
      <c r="F12" s="37"/>
      <c r="G12" s="37"/>
      <c r="H12" s="37"/>
      <c r="I12" s="37"/>
      <c r="J12" s="37"/>
      <c r="K12" s="37"/>
      <c r="L12" s="37"/>
      <c r="M12" s="155" t="s">
        <v>74</v>
      </c>
      <c r="N12" s="140"/>
      <c r="O12" s="141">
        <f>'4. Sigma &amp; Theta'!B13</f>
        <v>1E-3</v>
      </c>
      <c r="P12" s="142"/>
      <c r="Q12" s="140"/>
      <c r="R12" s="141">
        <f>'4. Sigma &amp; Theta'!B13</f>
        <v>1E-3</v>
      </c>
      <c r="S12" s="142"/>
      <c r="T12" s="141"/>
      <c r="U12" s="141">
        <f>'4. Sigma &amp; Theta'!B13</f>
        <v>1E-3</v>
      </c>
      <c r="V12" s="142"/>
    </row>
    <row r="13" spans="1:22">
      <c r="A13" s="115">
        <v>12</v>
      </c>
      <c r="B13" s="37">
        <f>'1. Autocorr'!B14</f>
        <v>-8.8043970560002904E-2</v>
      </c>
      <c r="C13" s="37">
        <f t="shared" si="1"/>
        <v>2.858692787179939</v>
      </c>
      <c r="D13" s="37">
        <f t="shared" si="0"/>
        <v>-2.9467367577399419</v>
      </c>
      <c r="E13" s="37"/>
      <c r="F13" s="37"/>
      <c r="G13" s="37"/>
      <c r="H13" s="37"/>
      <c r="I13" s="37"/>
      <c r="J13" s="37"/>
      <c r="K13" s="37"/>
      <c r="L13" s="37"/>
      <c r="M13" s="182"/>
      <c r="N13" s="144"/>
      <c r="O13" s="145"/>
      <c r="P13" s="146" t="s">
        <v>204</v>
      </c>
      <c r="Q13" s="144"/>
      <c r="R13" s="145"/>
      <c r="S13" s="146" t="s">
        <v>203</v>
      </c>
      <c r="T13" s="145"/>
      <c r="U13" s="145"/>
      <c r="V13" s="146" t="s">
        <v>197</v>
      </c>
    </row>
    <row r="14" spans="1:22" ht="18">
      <c r="A14" s="115">
        <v>13</v>
      </c>
      <c r="B14" s="37">
        <f>'1. Autocorr'!B15</f>
        <v>2.8647606013951963</v>
      </c>
      <c r="C14" s="37">
        <f t="shared" si="1"/>
        <v>0.46101618572251385</v>
      </c>
      <c r="D14" s="37">
        <f t="shared" si="0"/>
        <v>2.4037444156726826</v>
      </c>
      <c r="E14" s="37"/>
      <c r="F14" s="37"/>
      <c r="G14" s="37"/>
      <c r="H14" s="37"/>
      <c r="I14" s="37"/>
      <c r="J14" s="37"/>
      <c r="K14" s="37"/>
      <c r="L14" s="37"/>
      <c r="M14" s="183" t="s">
        <v>149</v>
      </c>
      <c r="N14" s="184">
        <f>'2. Phi'!B31</f>
        <v>1E-3</v>
      </c>
      <c r="O14" s="185"/>
      <c r="P14" s="186"/>
      <c r="Q14" s="184">
        <f>'2. Phi'!B31</f>
        <v>1E-3</v>
      </c>
      <c r="R14" s="185"/>
      <c r="S14" s="186"/>
      <c r="T14" s="185">
        <f>'2. Phi'!B31</f>
        <v>1E-3</v>
      </c>
      <c r="U14" s="185"/>
      <c r="V14" s="186"/>
    </row>
    <row r="15" spans="1:22" ht="18">
      <c r="A15" s="115">
        <v>14</v>
      </c>
      <c r="B15" s="37">
        <f>'1. Autocorr'!B16</f>
        <v>3.345895516405756</v>
      </c>
      <c r="C15" s="37">
        <f t="shared" si="1"/>
        <v>2.5413085671397955</v>
      </c>
      <c r="D15" s="37">
        <f t="shared" si="0"/>
        <v>0.80458694926596053</v>
      </c>
      <c r="E15" s="37"/>
      <c r="F15" s="37"/>
      <c r="G15" s="37"/>
      <c r="H15" s="37"/>
      <c r="I15" s="37"/>
      <c r="J15" s="37"/>
      <c r="K15" s="37"/>
      <c r="L15" s="37"/>
      <c r="M15" s="183" t="s">
        <v>147</v>
      </c>
      <c r="N15" s="184"/>
      <c r="O15" s="185"/>
      <c r="P15" s="187"/>
      <c r="Q15" s="184">
        <f>'2. Phi'!B32</f>
        <v>1E-3</v>
      </c>
      <c r="R15" s="185"/>
      <c r="S15" s="187"/>
      <c r="T15" s="185">
        <f>'2. Phi'!B32</f>
        <v>1E-3</v>
      </c>
      <c r="U15" s="185"/>
      <c r="V15" s="187"/>
    </row>
    <row r="16" spans="1:22" ht="18">
      <c r="A16" s="115">
        <v>15</v>
      </c>
      <c r="B16" s="37">
        <f>'1. Autocorr'!B17</f>
        <v>1.8383547169013719</v>
      </c>
      <c r="C16" s="37">
        <f t="shared" si="1"/>
        <v>2.8960129130066177</v>
      </c>
      <c r="D16" s="37">
        <f t="shared" si="0"/>
        <v>-1.0576581961052458</v>
      </c>
      <c r="E16" s="37"/>
      <c r="F16" s="37"/>
      <c r="G16" s="37"/>
      <c r="H16" s="37"/>
      <c r="I16" s="37"/>
      <c r="J16" s="37"/>
      <c r="K16" s="37"/>
      <c r="L16" s="37"/>
      <c r="M16" s="183" t="s">
        <v>145</v>
      </c>
      <c r="N16" s="184"/>
      <c r="O16" s="185"/>
      <c r="P16" s="187"/>
      <c r="Q16" s="184"/>
      <c r="R16" s="185"/>
      <c r="S16" s="187"/>
      <c r="T16" s="185">
        <f>'2. Phi'!B33</f>
        <v>1E-3</v>
      </c>
      <c r="U16" s="185"/>
      <c r="V16" s="187"/>
    </row>
    <row r="17" spans="1:33" ht="18">
      <c r="A17" s="115">
        <v>16</v>
      </c>
      <c r="B17" s="37">
        <f>'1. Autocorr'!B18</f>
        <v>4.535340490896175</v>
      </c>
      <c r="C17" s="37">
        <f t="shared" si="1"/>
        <v>1.8283917366723497</v>
      </c>
      <c r="D17" s="37">
        <f t="shared" si="0"/>
        <v>2.7069487542238253</v>
      </c>
      <c r="E17" s="37"/>
      <c r="F17" s="37"/>
      <c r="G17" s="37"/>
      <c r="H17" s="37"/>
      <c r="I17" s="37"/>
      <c r="J17" s="37"/>
      <c r="K17" s="37"/>
      <c r="L17" s="37"/>
      <c r="M17" s="182" t="s">
        <v>72</v>
      </c>
      <c r="N17" s="184"/>
      <c r="O17" s="185">
        <f>'4. Sigma &amp; Theta'!B21</f>
        <v>1E-3</v>
      </c>
      <c r="P17" s="187"/>
      <c r="Q17" s="184"/>
      <c r="R17" s="185">
        <f>'4. Sigma &amp; Theta'!B21</f>
        <v>1E-3</v>
      </c>
      <c r="S17" s="187"/>
      <c r="T17" s="185"/>
      <c r="U17" s="185">
        <f>'4. Sigma &amp; Theta'!B21</f>
        <v>1E-3</v>
      </c>
      <c r="V17" s="187"/>
    </row>
    <row r="18" spans="1:33" ht="18">
      <c r="A18" s="115">
        <v>17</v>
      </c>
      <c r="B18" s="37">
        <f>'1. Autocorr'!B19</f>
        <v>0.91413563801271902</v>
      </c>
      <c r="C18" s="37">
        <f t="shared" si="1"/>
        <v>3.7356044770243257</v>
      </c>
      <c r="D18" s="37">
        <f t="shared" si="0"/>
        <v>-2.8214688390116067</v>
      </c>
      <c r="E18" s="37"/>
      <c r="F18" s="37"/>
      <c r="G18" s="37"/>
      <c r="H18" s="37"/>
      <c r="I18" s="37"/>
      <c r="J18" s="37"/>
      <c r="K18" s="37"/>
      <c r="L18" s="37"/>
      <c r="M18" s="182" t="s">
        <v>74</v>
      </c>
      <c r="N18" s="184"/>
      <c r="O18" s="185">
        <f>'4. Sigma &amp; Theta'!B22</f>
        <v>1E-3</v>
      </c>
      <c r="P18" s="187"/>
      <c r="Q18" s="184"/>
      <c r="R18" s="185">
        <f>'4. Sigma &amp; Theta'!B22</f>
        <v>1E-3</v>
      </c>
      <c r="S18" s="187"/>
      <c r="T18" s="185"/>
      <c r="U18" s="185">
        <f>'4. Sigma &amp; Theta'!B22</f>
        <v>1E-3</v>
      </c>
      <c r="V18" s="187"/>
    </row>
    <row r="19" spans="1:33" ht="18">
      <c r="A19" s="115">
        <v>18</v>
      </c>
      <c r="B19" s="37">
        <f>'1. Autocorr'!B20</f>
        <v>1.7656540318667853</v>
      </c>
      <c r="C19" s="37">
        <f t="shared" si="1"/>
        <v>1.1778340443256696</v>
      </c>
      <c r="D19" s="37">
        <f t="shared" si="0"/>
        <v>0.58781998754111564</v>
      </c>
      <c r="E19" s="37"/>
      <c r="F19" s="37"/>
      <c r="G19" s="37"/>
      <c r="H19" s="37"/>
      <c r="I19" s="37"/>
      <c r="J19" s="37"/>
      <c r="K19" s="37"/>
      <c r="L19" s="37"/>
      <c r="M19" s="188" t="s">
        <v>76</v>
      </c>
      <c r="N19" s="189"/>
      <c r="O19" s="190">
        <f>'4. Sigma &amp; Theta'!B23</f>
        <v>1E-3</v>
      </c>
      <c r="P19" s="191"/>
      <c r="Q19" s="189"/>
      <c r="R19" s="190">
        <f>'4. Sigma &amp; Theta'!B23</f>
        <v>1E-3</v>
      </c>
      <c r="S19" s="191"/>
      <c r="T19" s="190"/>
      <c r="U19" s="190">
        <f>'4. Sigma &amp; Theta'!B23</f>
        <v>1E-3</v>
      </c>
      <c r="V19" s="191"/>
    </row>
    <row r="20" spans="1:33">
      <c r="A20" s="115">
        <v>19</v>
      </c>
      <c r="B20" s="37">
        <f>'1. Autocorr'!B21</f>
        <v>2.4062615234113913</v>
      </c>
      <c r="C20" s="37">
        <f t="shared" si="1"/>
        <v>1.7658537353782315</v>
      </c>
      <c r="D20" s="37">
        <f t="shared" si="0"/>
        <v>0.64040778803315979</v>
      </c>
      <c r="E20" s="37"/>
      <c r="F20" s="37"/>
      <c r="G20" s="37"/>
      <c r="H20" s="37"/>
      <c r="I20" s="37"/>
      <c r="J20" s="37"/>
      <c r="K20" s="37"/>
      <c r="L20" s="37"/>
      <c r="M20" s="123"/>
    </row>
    <row r="21" spans="1:33" ht="15.75">
      <c r="A21" s="115">
        <v>20</v>
      </c>
      <c r="B21" s="37">
        <f>'1. Autocorr'!B22</f>
        <v>4.962504573630425</v>
      </c>
      <c r="C21" s="37">
        <f t="shared" si="1"/>
        <v>2.2242289864725433</v>
      </c>
      <c r="D21" s="37">
        <f t="shared" si="0"/>
        <v>2.7382755871578817</v>
      </c>
      <c r="G21" s="157"/>
      <c r="N21" s="281" t="s">
        <v>271</v>
      </c>
      <c r="P21" s="16"/>
      <c r="Q21" s="16"/>
      <c r="R21" s="16"/>
      <c r="S21" s="16"/>
      <c r="T21" s="16"/>
      <c r="U21" s="16"/>
    </row>
    <row r="22" spans="1:33" ht="15.75">
      <c r="A22" s="115">
        <v>21</v>
      </c>
      <c r="B22" s="37">
        <f>'1. Autocorr'!B23</f>
        <v>1.2850018151585152</v>
      </c>
      <c r="C22" s="37">
        <f t="shared" si="1"/>
        <v>4.0412779245736647</v>
      </c>
      <c r="D22" s="37">
        <f t="shared" si="0"/>
        <v>-2.7562761094151496</v>
      </c>
      <c r="N22" s="282" t="s">
        <v>317</v>
      </c>
    </row>
    <row r="23" spans="1:33">
      <c r="A23" s="115">
        <v>22</v>
      </c>
      <c r="B23" s="37">
        <f>'1. Autocorr'!B24</f>
        <v>2.1140007203459419</v>
      </c>
      <c r="C23" s="37">
        <f t="shared" si="1"/>
        <v>1.4429793983348183</v>
      </c>
      <c r="D23" s="37">
        <f t="shared" si="0"/>
        <v>0.67102132201112363</v>
      </c>
      <c r="O23" t="s">
        <v>326</v>
      </c>
    </row>
    <row r="24" spans="1:33">
      <c r="A24" s="115">
        <v>23</v>
      </c>
      <c r="B24" s="37">
        <f>'1. Autocorr'!B25</f>
        <v>2.7456002858513884</v>
      </c>
      <c r="C24" s="37">
        <f t="shared" si="1"/>
        <v>2.014759197470831</v>
      </c>
      <c r="D24" s="37">
        <f t="shared" si="0"/>
        <v>0.73084108838055739</v>
      </c>
      <c r="N24" t="s">
        <v>272</v>
      </c>
    </row>
    <row r="25" spans="1:33">
      <c r="A25" s="115">
        <v>24</v>
      </c>
      <c r="B25" s="37">
        <f>'1. Autocorr'!B26</f>
        <v>1.2982401134257575</v>
      </c>
      <c r="C25" s="37">
        <f t="shared" si="1"/>
        <v>2.4666382166279837</v>
      </c>
      <c r="D25" s="37">
        <f t="shared" si="0"/>
        <v>-1.1683981032022261</v>
      </c>
      <c r="N25" t="s">
        <v>273</v>
      </c>
    </row>
    <row r="26" spans="1:33">
      <c r="A26" s="115">
        <v>25</v>
      </c>
      <c r="B26" s="37">
        <f>'1. Autocorr'!B27</f>
        <v>1.9296045004381313E-2</v>
      </c>
      <c r="C26" s="37">
        <f t="shared" si="1"/>
        <v>1.4423452996165678</v>
      </c>
      <c r="D26" s="37">
        <f t="shared" si="0"/>
        <v>-1.4230492546121865</v>
      </c>
    </row>
    <row r="27" spans="1:33" ht="15.75">
      <c r="A27" s="115">
        <v>26</v>
      </c>
      <c r="B27" s="37">
        <f>'1. Autocorr'!B28</f>
        <v>0.8077184178553809</v>
      </c>
      <c r="C27" s="37">
        <f t="shared" si="1"/>
        <v>0.5281729308275549</v>
      </c>
      <c r="D27" s="37">
        <f t="shared" si="0"/>
        <v>0.279545487027826</v>
      </c>
      <c r="N27" s="283" t="s">
        <v>274</v>
      </c>
      <c r="O27" s="283" t="s">
        <v>270</v>
      </c>
    </row>
    <row r="28" spans="1:33" ht="18.75">
      <c r="A28" s="115">
        <v>27</v>
      </c>
      <c r="B28" s="37">
        <f>'1. Autocorr'!B29</f>
        <v>-0.57691263291639938</v>
      </c>
      <c r="C28" s="37">
        <f t="shared" si="1"/>
        <v>1.081882607979437</v>
      </c>
      <c r="D28" s="37">
        <f t="shared" si="0"/>
        <v>-1.6587952408958364</v>
      </c>
      <c r="N28" s="286" t="s">
        <v>275</v>
      </c>
      <c r="O28" s="287" t="s">
        <v>318</v>
      </c>
      <c r="P28" s="11"/>
      <c r="Q28" s="11"/>
      <c r="R28" s="11"/>
      <c r="S28" s="11"/>
      <c r="T28" s="11"/>
      <c r="U28" s="11"/>
      <c r="V28" s="11"/>
      <c r="W28" s="11"/>
      <c r="X28" s="284" t="s">
        <v>276</v>
      </c>
      <c r="AF28" s="285" t="s">
        <v>354</v>
      </c>
    </row>
    <row r="29" spans="1:33" ht="18.75">
      <c r="A29" s="115">
        <v>28</v>
      </c>
      <c r="B29" s="37">
        <f>'1. Autocorr'!B30</f>
        <v>-1.8307650531899835</v>
      </c>
      <c r="C29" s="37">
        <f t="shared" si="1"/>
        <v>0.10275623549001239</v>
      </c>
      <c r="D29" s="37">
        <f t="shared" si="0"/>
        <v>-1.933521288679996</v>
      </c>
      <c r="N29" s="286" t="s">
        <v>277</v>
      </c>
      <c r="O29" s="287" t="s">
        <v>319</v>
      </c>
      <c r="P29" s="11"/>
      <c r="Q29" s="11"/>
      <c r="R29" s="11"/>
      <c r="S29" s="11"/>
      <c r="T29" s="11"/>
      <c r="U29" s="11"/>
      <c r="V29" s="11"/>
      <c r="W29" s="11"/>
      <c r="X29" s="284" t="s">
        <v>278</v>
      </c>
      <c r="AF29" s="285" t="s">
        <v>355</v>
      </c>
    </row>
    <row r="30" spans="1:33" ht="18.75">
      <c r="A30" s="115">
        <v>29</v>
      </c>
      <c r="B30" s="37">
        <f>'1. Autocorr'!B31</f>
        <v>-3.0323060212853661</v>
      </c>
      <c r="C30" s="37">
        <f t="shared" si="1"/>
        <v>-0.79332127320987122</v>
      </c>
      <c r="D30" s="37">
        <f t="shared" si="0"/>
        <v>-2.2389847480754947</v>
      </c>
      <c r="N30" s="286" t="s">
        <v>279</v>
      </c>
      <c r="O30" s="287" t="s">
        <v>320</v>
      </c>
      <c r="P30" s="11"/>
      <c r="Q30" s="11"/>
      <c r="R30" s="11"/>
      <c r="S30" s="11"/>
      <c r="T30" s="11"/>
      <c r="U30" s="11"/>
      <c r="V30" s="11"/>
      <c r="W30" s="11"/>
      <c r="X30" s="284" t="s">
        <v>280</v>
      </c>
      <c r="AF30" s="285" t="s">
        <v>356</v>
      </c>
    </row>
    <row r="31" spans="1:33" ht="18.75">
      <c r="A31" s="115">
        <v>30</v>
      </c>
      <c r="B31" s="37">
        <f>'1. Autocorr'!B32</f>
        <v>-6.2129224085178993</v>
      </c>
      <c r="C31" s="37">
        <f t="shared" si="1"/>
        <v>-1.6517451340480331</v>
      </c>
      <c r="D31" s="37">
        <f t="shared" si="0"/>
        <v>-4.5611772744698662</v>
      </c>
      <c r="N31" s="286" t="s">
        <v>281</v>
      </c>
      <c r="O31" s="287" t="s">
        <v>321</v>
      </c>
      <c r="P31" s="11"/>
      <c r="Q31" s="11"/>
      <c r="R31" s="11"/>
      <c r="S31" s="11"/>
      <c r="T31" s="11"/>
      <c r="U31" s="11"/>
      <c r="V31" s="11"/>
      <c r="W31" s="11"/>
      <c r="X31" s="284" t="s">
        <v>282</v>
      </c>
      <c r="AF31" s="285" t="s">
        <v>357</v>
      </c>
      <c r="AG31" s="11"/>
    </row>
    <row r="32" spans="1:33" ht="18.75">
      <c r="A32" s="115">
        <v>31</v>
      </c>
      <c r="B32" s="37">
        <f>'1. Autocorr'!B33</f>
        <v>-1.1851689634086644</v>
      </c>
      <c r="C32" s="37">
        <f t="shared" si="1"/>
        <v>-3.914450956001942</v>
      </c>
      <c r="D32" s="37">
        <f t="shared" si="0"/>
        <v>2.7292819925932776</v>
      </c>
      <c r="N32" s="286" t="s">
        <v>283</v>
      </c>
      <c r="O32" s="287" t="s">
        <v>322</v>
      </c>
      <c r="P32" s="11"/>
      <c r="Q32" s="11"/>
      <c r="R32" s="11"/>
      <c r="S32" s="11"/>
      <c r="T32" s="11"/>
      <c r="U32" s="11"/>
      <c r="V32" s="11"/>
      <c r="W32" s="11"/>
      <c r="X32" s="284" t="s">
        <v>284</v>
      </c>
      <c r="AF32" s="285" t="s">
        <v>358</v>
      </c>
    </row>
    <row r="33" spans="1:33" ht="18.75">
      <c r="A33" s="115">
        <v>32</v>
      </c>
      <c r="B33" s="37">
        <f>'1. Autocorr'!B34</f>
        <v>-2.8740675853640711</v>
      </c>
      <c r="C33" s="37">
        <f t="shared" si="1"/>
        <v>-0.36073710908759604</v>
      </c>
      <c r="D33" s="37">
        <f t="shared" si="0"/>
        <v>-2.513330476276475</v>
      </c>
      <c r="N33" s="286" t="s">
        <v>285</v>
      </c>
      <c r="O33" s="287" t="s">
        <v>323</v>
      </c>
      <c r="P33" s="11"/>
      <c r="Q33" s="11"/>
      <c r="R33" s="11"/>
      <c r="S33" s="11"/>
      <c r="T33" s="11"/>
      <c r="U33" s="11"/>
      <c r="V33" s="11"/>
      <c r="W33" s="11"/>
      <c r="X33" s="284" t="s">
        <v>286</v>
      </c>
      <c r="AF33" s="285" t="s">
        <v>359</v>
      </c>
    </row>
    <row r="34" spans="1:33" ht="18.75">
      <c r="A34" s="115">
        <v>33</v>
      </c>
      <c r="B34" s="37">
        <f>'1. Autocorr'!B35</f>
        <v>-6.2496270341458739</v>
      </c>
      <c r="C34" s="37">
        <f t="shared" si="1"/>
        <v>-1.5366903606442972</v>
      </c>
      <c r="D34" s="37">
        <f t="shared" si="0"/>
        <v>-4.7129366735015772</v>
      </c>
      <c r="N34" s="286" t="s">
        <v>348</v>
      </c>
      <c r="O34" s="287" t="s">
        <v>349</v>
      </c>
      <c r="P34" s="11"/>
      <c r="Q34" s="11"/>
      <c r="R34" s="11"/>
      <c r="S34" s="11"/>
      <c r="T34" s="11"/>
      <c r="U34" s="11"/>
      <c r="V34" s="11"/>
      <c r="W34" s="11"/>
      <c r="X34" s="284" t="s">
        <v>350</v>
      </c>
      <c r="AF34" s="285" t="s">
        <v>360</v>
      </c>
    </row>
    <row r="35" spans="1:33" ht="18.75">
      <c r="A35" s="115">
        <v>34</v>
      </c>
      <c r="B35" s="37">
        <f>'1. Autocorr'!B36</f>
        <v>-1.2998508136584519</v>
      </c>
      <c r="C35" s="37">
        <f t="shared" si="1"/>
        <v>-3.9397669065371144</v>
      </c>
      <c r="D35" s="37">
        <f t="shared" si="0"/>
        <v>2.6399160928786625</v>
      </c>
      <c r="N35" s="286" t="s">
        <v>351</v>
      </c>
      <c r="O35" s="287" t="s">
        <v>352</v>
      </c>
      <c r="P35" s="11"/>
      <c r="Q35" s="11"/>
      <c r="R35" s="11"/>
      <c r="S35" s="11"/>
      <c r="T35" s="11"/>
      <c r="U35" s="11"/>
      <c r="V35" s="11"/>
      <c r="W35" s="11"/>
      <c r="X35" s="284" t="s">
        <v>353</v>
      </c>
      <c r="AF35" s="285" t="s">
        <v>361</v>
      </c>
    </row>
    <row r="36" spans="1:33" ht="18.75">
      <c r="A36" s="115">
        <v>35</v>
      </c>
      <c r="B36" s="37">
        <f>'1. Autocorr'!B37</f>
        <v>-1.0199403254634252</v>
      </c>
      <c r="C36" s="37">
        <f t="shared" si="1"/>
        <v>-0.44228643459528705</v>
      </c>
      <c r="D36" s="37">
        <f t="shared" si="0"/>
        <v>-0.57765389086813812</v>
      </c>
      <c r="N36" s="286" t="s">
        <v>287</v>
      </c>
      <c r="O36" s="287" t="s">
        <v>324</v>
      </c>
      <c r="P36" s="11"/>
      <c r="Q36" s="11"/>
      <c r="R36" s="11"/>
      <c r="S36" s="11"/>
      <c r="T36" s="11"/>
      <c r="U36" s="11"/>
      <c r="V36" s="11"/>
      <c r="W36" s="11"/>
      <c r="X36" s="284" t="s">
        <v>288</v>
      </c>
      <c r="AF36" s="285" t="s">
        <v>362</v>
      </c>
    </row>
    <row r="37" spans="1:33" ht="18.75">
      <c r="A37" s="115">
        <v>36</v>
      </c>
      <c r="B37" s="37">
        <f>'1. Autocorr'!B38</f>
        <v>-2.6079761301853921</v>
      </c>
      <c r="C37" s="37">
        <f t="shared" si="1"/>
        <v>-0.22136191630461144</v>
      </c>
      <c r="D37" s="37">
        <f t="shared" si="0"/>
        <v>-2.3866142138807804</v>
      </c>
      <c r="N37" s="286" t="s">
        <v>289</v>
      </c>
      <c r="O37" s="287" t="s">
        <v>325</v>
      </c>
      <c r="P37" s="11"/>
      <c r="Q37" s="11"/>
      <c r="R37" s="11"/>
      <c r="S37" s="11"/>
      <c r="T37" s="11"/>
      <c r="U37" s="11"/>
      <c r="V37" s="11"/>
      <c r="W37" s="11"/>
      <c r="X37" s="284" t="s">
        <v>290</v>
      </c>
      <c r="AF37" s="285" t="s">
        <v>363</v>
      </c>
    </row>
    <row r="38" spans="1:33" ht="18.75">
      <c r="A38" s="115">
        <v>37</v>
      </c>
      <c r="B38" s="37">
        <f>'1. Autocorr'!B39</f>
        <v>2.0568095479258304</v>
      </c>
      <c r="C38" s="37">
        <f t="shared" si="1"/>
        <v>-1.3469613223554293</v>
      </c>
      <c r="D38" s="37">
        <f t="shared" si="0"/>
        <v>3.4037708702812597</v>
      </c>
      <c r="N38" s="286" t="s">
        <v>291</v>
      </c>
      <c r="O38" s="287" t="s">
        <v>327</v>
      </c>
      <c r="P38" s="11"/>
      <c r="Q38" s="11"/>
      <c r="R38" s="11"/>
      <c r="S38" s="11"/>
      <c r="T38" s="11"/>
      <c r="U38" s="11"/>
      <c r="V38" s="11"/>
      <c r="W38" s="11"/>
      <c r="X38" s="284" t="s">
        <v>292</v>
      </c>
      <c r="AF38" s="285" t="s">
        <v>364</v>
      </c>
    </row>
    <row r="39" spans="1:33" ht="18.75">
      <c r="A39" s="115">
        <v>38</v>
      </c>
      <c r="B39" s="37">
        <f>'1. Autocorr'!B40</f>
        <v>2.2227238191703229</v>
      </c>
      <c r="C39" s="37">
        <f t="shared" si="1"/>
        <v>1.9564018553630111</v>
      </c>
      <c r="D39" s="37">
        <f t="shared" si="0"/>
        <v>0.26632196380731177</v>
      </c>
      <c r="N39" s="286" t="s">
        <v>293</v>
      </c>
      <c r="O39" s="287" t="s">
        <v>328</v>
      </c>
      <c r="P39" s="11"/>
      <c r="Q39" s="11"/>
      <c r="R39" s="11"/>
      <c r="S39" s="11"/>
      <c r="T39" s="11"/>
      <c r="U39" s="11"/>
      <c r="V39" s="11"/>
      <c r="W39" s="11"/>
      <c r="X39" s="284" t="s">
        <v>294</v>
      </c>
      <c r="AF39" s="285" t="s">
        <v>365</v>
      </c>
      <c r="AG39" s="11"/>
    </row>
    <row r="40" spans="1:33" ht="18.75">
      <c r="A40" s="115">
        <v>39</v>
      </c>
      <c r="B40" s="37">
        <f>'1. Autocorr'!B41</f>
        <v>0.58908952766812117</v>
      </c>
      <c r="C40" s="37">
        <f t="shared" si="1"/>
        <v>2.095188509705264</v>
      </c>
      <c r="D40" s="37">
        <f t="shared" si="0"/>
        <v>-1.5060989820371429</v>
      </c>
      <c r="N40" s="286" t="s">
        <v>295</v>
      </c>
      <c r="O40" s="287" t="s">
        <v>329</v>
      </c>
      <c r="P40" s="11"/>
      <c r="Q40" s="11"/>
      <c r="R40" s="11"/>
      <c r="S40" s="11"/>
      <c r="T40" s="11"/>
      <c r="U40" s="11"/>
      <c r="V40" s="11"/>
      <c r="W40" s="11"/>
      <c r="X40" s="284" t="s">
        <v>296</v>
      </c>
      <c r="AF40" s="285" t="s">
        <v>366</v>
      </c>
    </row>
    <row r="41" spans="1:33" ht="18.75">
      <c r="A41" s="115">
        <v>40</v>
      </c>
      <c r="B41" s="37">
        <f>'1. Autocorr'!B42</f>
        <v>5.2356358110672412</v>
      </c>
      <c r="C41" s="37">
        <f t="shared" si="1"/>
        <v>0.936705354522122</v>
      </c>
      <c r="D41" s="37">
        <f t="shared" si="0"/>
        <v>4.2989304565451194</v>
      </c>
      <c r="N41" s="286" t="s">
        <v>297</v>
      </c>
      <c r="O41" s="287" t="s">
        <v>330</v>
      </c>
      <c r="P41" s="11"/>
      <c r="Q41" s="11"/>
      <c r="R41" s="11"/>
      <c r="S41" s="11"/>
      <c r="T41" s="11"/>
      <c r="U41" s="11"/>
      <c r="V41" s="11"/>
      <c r="W41" s="11"/>
      <c r="X41" s="284" t="s">
        <v>298</v>
      </c>
      <c r="AF41" s="285" t="s">
        <v>367</v>
      </c>
    </row>
    <row r="42" spans="1:33" ht="18.75">
      <c r="A42" s="115">
        <v>41</v>
      </c>
      <c r="B42" s="37">
        <f>'1. Autocorr'!B43</f>
        <v>1.3942543244268895</v>
      </c>
      <c r="C42" s="37">
        <f t="shared" si="1"/>
        <v>4.2269148504070362</v>
      </c>
      <c r="D42" s="37">
        <f t="shared" si="0"/>
        <v>-2.8326605259801467</v>
      </c>
      <c r="N42" s="286" t="s">
        <v>299</v>
      </c>
      <c r="O42" s="287" t="s">
        <v>331</v>
      </c>
      <c r="P42" s="11"/>
      <c r="Q42" s="11"/>
      <c r="R42" s="11"/>
      <c r="S42" s="11"/>
      <c r="T42" s="11"/>
      <c r="U42" s="11"/>
      <c r="V42" s="11"/>
      <c r="W42" s="11"/>
      <c r="X42" s="284" t="s">
        <v>300</v>
      </c>
      <c r="AF42" s="285" t="s">
        <v>368</v>
      </c>
    </row>
    <row r="43" spans="1:33" ht="18.75">
      <c r="A43" s="115">
        <v>42</v>
      </c>
      <c r="B43" s="37">
        <f>'1. Autocorr'!B44</f>
        <v>2.1577017297707481</v>
      </c>
      <c r="C43" s="37">
        <f t="shared" si="1"/>
        <v>1.5216967073366514</v>
      </c>
      <c r="D43" s="37">
        <f t="shared" si="0"/>
        <v>0.63600502243409673</v>
      </c>
      <c r="N43" s="286" t="s">
        <v>301</v>
      </c>
      <c r="O43" s="287" t="s">
        <v>332</v>
      </c>
      <c r="P43" s="11"/>
      <c r="Q43" s="11"/>
      <c r="R43" s="11"/>
      <c r="S43" s="11"/>
      <c r="T43" s="11"/>
      <c r="U43" s="11"/>
      <c r="V43" s="11"/>
      <c r="W43" s="11"/>
      <c r="X43" s="284" t="s">
        <v>302</v>
      </c>
      <c r="AB43" s="11"/>
      <c r="AF43" s="285" t="s">
        <v>369</v>
      </c>
    </row>
    <row r="44" spans="1:33" ht="18.75">
      <c r="A44" s="115">
        <v>43</v>
      </c>
      <c r="B44" s="37">
        <f>'1. Autocorr'!B45</f>
        <v>6.763080691908292</v>
      </c>
      <c r="C44" s="37">
        <f t="shared" si="1"/>
        <v>2.0462745477496274</v>
      </c>
      <c r="D44" s="37">
        <f t="shared" si="0"/>
        <v>4.7168061441586646</v>
      </c>
      <c r="N44" s="286" t="s">
        <v>303</v>
      </c>
      <c r="O44" s="287" t="s">
        <v>333</v>
      </c>
      <c r="P44" s="11"/>
      <c r="Q44" s="11"/>
      <c r="R44" s="11"/>
      <c r="S44" s="11"/>
      <c r="T44" s="11"/>
      <c r="U44" s="11"/>
      <c r="V44" s="11"/>
      <c r="W44" s="11"/>
      <c r="X44" s="284" t="s">
        <v>304</v>
      </c>
      <c r="AF44" s="285" t="s">
        <v>370</v>
      </c>
    </row>
    <row r="45" spans="1:33" ht="18.75">
      <c r="A45" s="115">
        <v>44</v>
      </c>
      <c r="B45" s="37">
        <f>'1. Autocorr'!B46</f>
        <v>4.905232276763309</v>
      </c>
      <c r="C45" s="37">
        <f t="shared" si="1"/>
        <v>5.3179878629354738</v>
      </c>
      <c r="D45" s="37">
        <f t="shared" si="0"/>
        <v>-0.41275558617216479</v>
      </c>
      <c r="N45" s="286" t="s">
        <v>305</v>
      </c>
      <c r="O45" s="287" t="s">
        <v>334</v>
      </c>
      <c r="P45" s="11"/>
      <c r="Q45" s="11"/>
      <c r="R45" s="11"/>
      <c r="S45" s="11"/>
      <c r="T45" s="11"/>
      <c r="U45" s="11"/>
      <c r="V45" s="11"/>
      <c r="W45" s="11"/>
      <c r="X45" s="284" t="s">
        <v>306</v>
      </c>
      <c r="AB45" s="11"/>
      <c r="AF45" s="285" t="s">
        <v>371</v>
      </c>
    </row>
    <row r="46" spans="1:33" ht="18.75">
      <c r="A46" s="115">
        <v>45</v>
      </c>
      <c r="B46" s="37">
        <f>'1. Autocorr'!B47</f>
        <v>1.4620929107053158</v>
      </c>
      <c r="C46" s="37">
        <f t="shared" si="1"/>
        <v>4.0203372306620437</v>
      </c>
      <c r="D46" s="37">
        <f t="shared" si="0"/>
        <v>-2.558244319956728</v>
      </c>
      <c r="N46" s="286" t="s">
        <v>307</v>
      </c>
      <c r="O46" s="287" t="s">
        <v>335</v>
      </c>
      <c r="P46" s="11"/>
      <c r="Q46" s="11"/>
      <c r="R46" s="11"/>
      <c r="S46" s="11"/>
      <c r="T46" s="11"/>
      <c r="U46" s="11"/>
      <c r="V46" s="11"/>
      <c r="W46" s="11"/>
      <c r="X46" s="284" t="s">
        <v>308</v>
      </c>
      <c r="AF46" s="285" t="s">
        <v>372</v>
      </c>
    </row>
    <row r="47" spans="1:33" ht="18.75">
      <c r="A47" s="115">
        <v>46</v>
      </c>
      <c r="B47" s="37">
        <f>'1. Autocorr'!B48</f>
        <v>-1.6151628357178818</v>
      </c>
      <c r="C47" s="37">
        <f t="shared" si="1"/>
        <v>1.5685250650002045</v>
      </c>
      <c r="D47" s="37">
        <f t="shared" si="0"/>
        <v>-3.1836879007180863</v>
      </c>
      <c r="N47" s="286" t="s">
        <v>309</v>
      </c>
      <c r="O47" s="287" t="s">
        <v>336</v>
      </c>
      <c r="P47" s="11"/>
      <c r="Q47" s="11"/>
      <c r="R47" s="11"/>
      <c r="S47" s="11"/>
      <c r="T47" s="11"/>
      <c r="U47" s="11"/>
      <c r="V47" s="11"/>
      <c r="W47" s="11"/>
      <c r="X47" s="284" t="s">
        <v>310</v>
      </c>
      <c r="AF47" s="285" t="s">
        <v>373</v>
      </c>
    </row>
    <row r="48" spans="1:33" ht="18.75">
      <c r="A48" s="115">
        <v>47</v>
      </c>
      <c r="B48" s="37">
        <f>'1. Autocorr'!B49</f>
        <v>-4.5460651342871614</v>
      </c>
      <c r="C48" s="37">
        <f t="shared" si="1"/>
        <v>-0.63097571892768534</v>
      </c>
      <c r="D48" s="37">
        <f t="shared" si="0"/>
        <v>-3.9150894153594762</v>
      </c>
      <c r="N48" s="286" t="s">
        <v>311</v>
      </c>
      <c r="O48" s="287" t="s">
        <v>337</v>
      </c>
      <c r="P48" s="11"/>
      <c r="Q48" s="11"/>
      <c r="R48" s="11"/>
      <c r="S48" s="11"/>
      <c r="T48" s="11"/>
      <c r="U48" s="11"/>
      <c r="V48" s="11"/>
      <c r="W48" s="11"/>
      <c r="X48" s="284" t="s">
        <v>312</v>
      </c>
      <c r="AF48" s="285" t="s">
        <v>374</v>
      </c>
    </row>
    <row r="49" spans="1:32" ht="18.75">
      <c r="A49" s="115">
        <v>48</v>
      </c>
      <c r="B49" s="37">
        <f>'1. Autocorr'!B50</f>
        <v>-1.4184260537148732</v>
      </c>
      <c r="C49" s="37">
        <f t="shared" si="1"/>
        <v>-2.7250045231843685</v>
      </c>
      <c r="D49" s="37">
        <f t="shared" si="0"/>
        <v>1.3065784694694953</v>
      </c>
      <c r="N49" s="286" t="s">
        <v>313</v>
      </c>
      <c r="O49" s="287" t="s">
        <v>338</v>
      </c>
      <c r="P49" s="11"/>
      <c r="Q49" s="11"/>
      <c r="R49" s="11"/>
      <c r="S49" s="11"/>
      <c r="T49" s="11"/>
      <c r="U49" s="11"/>
      <c r="V49" s="11"/>
      <c r="W49" s="11"/>
      <c r="X49" s="284" t="s">
        <v>314</v>
      </c>
      <c r="Z49" s="11"/>
      <c r="AF49" s="285" t="s">
        <v>375</v>
      </c>
    </row>
    <row r="50" spans="1:32" ht="18.75">
      <c r="A50" s="115">
        <v>49</v>
      </c>
      <c r="B50" s="37">
        <f>'1. Autocorr'!B51</f>
        <v>1.1326295785140421</v>
      </c>
      <c r="C50" s="37">
        <f t="shared" si="1"/>
        <v>-0.51870058700659294</v>
      </c>
      <c r="D50" s="37">
        <f t="shared" si="0"/>
        <v>1.6513301655206352</v>
      </c>
      <c r="N50" s="286" t="s">
        <v>315</v>
      </c>
      <c r="O50" s="287" t="s">
        <v>339</v>
      </c>
      <c r="P50" s="11"/>
      <c r="Q50" s="11"/>
      <c r="R50" s="11"/>
      <c r="S50" s="11"/>
      <c r="T50" s="11"/>
      <c r="U50" s="11"/>
      <c r="V50" s="11"/>
      <c r="W50" s="11"/>
      <c r="X50" s="284" t="s">
        <v>316</v>
      </c>
      <c r="Z50" s="11"/>
      <c r="AF50" s="285" t="s">
        <v>376</v>
      </c>
    </row>
    <row r="51" spans="1:32">
      <c r="A51" s="296">
        <v>50</v>
      </c>
      <c r="B51" s="297">
        <f>'1. Autocorr'!B52</f>
        <v>2.0099999999999998</v>
      </c>
      <c r="C51" s="37">
        <f t="shared" si="1"/>
        <v>1.3057997506030827</v>
      </c>
      <c r="D51" s="37">
        <f t="shared" si="0"/>
        <v>0.70420024939691706</v>
      </c>
    </row>
    <row r="52" spans="1:32">
      <c r="A52" s="159">
        <v>51</v>
      </c>
      <c r="B52" s="37"/>
      <c r="C52" s="118">
        <f>$N$3*C51+AVERAGE($B$2:$B$51)*(1-$N$3)</f>
        <v>1.4403167016872571</v>
      </c>
    </row>
    <row r="53" spans="1:32">
      <c r="A53" s="159">
        <v>52</v>
      </c>
      <c r="B53" s="37"/>
      <c r="C53" s="118">
        <f t="shared" ref="C53:C61" si="2">$N$3*C52+AVERAGE($B$2:$B$51)*(1-$N$3)</f>
        <v>1.5366382357990571</v>
      </c>
    </row>
    <row r="54" spans="1:32">
      <c r="A54" s="159">
        <v>53</v>
      </c>
      <c r="B54" s="37"/>
      <c r="C54" s="118">
        <f t="shared" si="2"/>
        <v>1.6056097509789171</v>
      </c>
    </row>
    <row r="55" spans="1:32">
      <c r="A55" s="159">
        <v>54</v>
      </c>
      <c r="B55" s="37"/>
      <c r="C55" s="118">
        <f t="shared" si="2"/>
        <v>1.6549971486161281</v>
      </c>
    </row>
    <row r="56" spans="1:32">
      <c r="A56" s="159">
        <v>55</v>
      </c>
      <c r="B56" s="37"/>
      <c r="C56" s="118">
        <f t="shared" si="2"/>
        <v>1.6903612411551339</v>
      </c>
    </row>
    <row r="57" spans="1:32">
      <c r="A57" s="159">
        <v>56</v>
      </c>
      <c r="B57" s="37"/>
      <c r="C57" s="118">
        <f t="shared" si="2"/>
        <v>1.7156838760972324</v>
      </c>
    </row>
    <row r="58" spans="1:32">
      <c r="A58" s="159">
        <v>57</v>
      </c>
      <c r="B58" s="37"/>
      <c r="C58" s="118">
        <f t="shared" si="2"/>
        <v>1.7338162752165802</v>
      </c>
    </row>
    <row r="59" spans="1:32">
      <c r="A59" s="159">
        <v>58</v>
      </c>
      <c r="B59" s="37"/>
      <c r="C59" s="118">
        <f t="shared" si="2"/>
        <v>1.7468000700931836</v>
      </c>
    </row>
    <row r="60" spans="1:32">
      <c r="A60" s="159">
        <v>59</v>
      </c>
      <c r="B60" s="37"/>
      <c r="C60" s="118">
        <f t="shared" si="2"/>
        <v>1.7560971812083825</v>
      </c>
    </row>
    <row r="61" spans="1:32">
      <c r="A61" s="159">
        <v>60</v>
      </c>
      <c r="B61" s="37"/>
      <c r="C61" s="118">
        <f t="shared" si="2"/>
        <v>1.7627544240183499</v>
      </c>
    </row>
    <row r="62" spans="1:32" ht="15.75">
      <c r="A62" s="115"/>
      <c r="B62" s="37"/>
      <c r="F62" s="157"/>
    </row>
    <row r="63" spans="1:32">
      <c r="A63" s="115"/>
      <c r="B63" s="37"/>
    </row>
    <row r="64" spans="1:32">
      <c r="A64" s="115"/>
      <c r="B64" s="37"/>
    </row>
    <row r="65" spans="1:2">
      <c r="A65" s="115"/>
      <c r="B65" s="37"/>
    </row>
    <row r="66" spans="1:2">
      <c r="A66" s="115"/>
      <c r="B66" s="37"/>
    </row>
    <row r="67" spans="1:2">
      <c r="A67" s="115"/>
      <c r="B67" s="37"/>
    </row>
    <row r="68" spans="1:2">
      <c r="A68" s="115"/>
      <c r="B68" s="37"/>
    </row>
    <row r="69" spans="1:2">
      <c r="A69" s="115"/>
      <c r="B69" s="37"/>
    </row>
    <row r="70" spans="1:2">
      <c r="A70" s="115"/>
      <c r="B70" s="37"/>
    </row>
    <row r="71" spans="1:2">
      <c r="A71" s="115"/>
      <c r="B71" s="37"/>
    </row>
    <row r="72" spans="1:2">
      <c r="A72" s="115"/>
      <c r="B72" s="37"/>
    </row>
    <row r="73" spans="1:2">
      <c r="A73" s="115"/>
      <c r="B73" s="37"/>
    </row>
    <row r="74" spans="1:2">
      <c r="A74" s="115"/>
      <c r="B74" s="37"/>
    </row>
    <row r="75" spans="1:2">
      <c r="A75" s="115"/>
      <c r="B75" s="37"/>
    </row>
    <row r="76" spans="1:2">
      <c r="A76" s="115"/>
      <c r="B76" s="37"/>
    </row>
    <row r="77" spans="1:2">
      <c r="A77" s="115"/>
      <c r="B77" s="37"/>
    </row>
    <row r="78" spans="1:2">
      <c r="A78" s="115"/>
      <c r="B78" s="37"/>
    </row>
    <row r="79" spans="1:2">
      <c r="A79" s="115"/>
      <c r="B79" s="37"/>
    </row>
    <row r="80" spans="1:2">
      <c r="A80" s="115"/>
      <c r="B80" s="37"/>
    </row>
    <row r="81" spans="1:2">
      <c r="A81" s="115"/>
      <c r="B81" s="37"/>
    </row>
    <row r="82" spans="1:2">
      <c r="A82" s="115"/>
      <c r="B82" s="37"/>
    </row>
    <row r="83" spans="1:2">
      <c r="A83" s="115"/>
      <c r="B83" s="37"/>
    </row>
    <row r="84" spans="1:2">
      <c r="A84" s="115"/>
      <c r="B84" s="37"/>
    </row>
    <row r="85" spans="1:2">
      <c r="A85" s="115"/>
      <c r="B85" s="37"/>
    </row>
    <row r="86" spans="1:2">
      <c r="A86" s="115"/>
      <c r="B86" s="37"/>
    </row>
    <row r="87" spans="1:2">
      <c r="A87" s="115"/>
      <c r="B87" s="37"/>
    </row>
    <row r="88" spans="1:2">
      <c r="A88" s="115"/>
      <c r="B88" s="37"/>
    </row>
    <row r="89" spans="1:2">
      <c r="A89" s="115"/>
      <c r="B89" s="37"/>
    </row>
    <row r="90" spans="1:2">
      <c r="A90" s="115"/>
      <c r="B90" s="37"/>
    </row>
    <row r="91" spans="1:2">
      <c r="A91" s="115"/>
      <c r="B91" s="37"/>
    </row>
    <row r="92" spans="1:2">
      <c r="A92" s="115"/>
      <c r="B92" s="37"/>
    </row>
    <row r="93" spans="1:2">
      <c r="A93" s="115"/>
      <c r="B93" s="37"/>
    </row>
    <row r="94" spans="1:2">
      <c r="A94" s="115"/>
      <c r="B94" s="37"/>
    </row>
    <row r="95" spans="1:2">
      <c r="A95" s="115"/>
      <c r="B95" s="37"/>
    </row>
    <row r="96" spans="1:2">
      <c r="A96" s="115"/>
      <c r="B96" s="37"/>
    </row>
    <row r="97" spans="1:2">
      <c r="A97" s="115"/>
      <c r="B97" s="37"/>
    </row>
    <row r="98" spans="1:2">
      <c r="A98" s="115"/>
      <c r="B98" s="37"/>
    </row>
    <row r="99" spans="1:2">
      <c r="A99" s="115"/>
      <c r="B99" s="37"/>
    </row>
    <row r="100" spans="1:2">
      <c r="A100" s="115"/>
      <c r="B100" s="37"/>
    </row>
    <row r="101" spans="1:2">
      <c r="A101" s="115"/>
      <c r="B101" s="37"/>
    </row>
    <row r="102" spans="1:2">
      <c r="A102" s="115"/>
      <c r="B102" s="37"/>
    </row>
    <row r="103" spans="1:2">
      <c r="A103" s="115"/>
      <c r="B103" s="37"/>
    </row>
    <row r="104" spans="1:2">
      <c r="A104" s="115"/>
      <c r="B104" s="37"/>
    </row>
    <row r="105" spans="1:2">
      <c r="A105" s="115"/>
      <c r="B105" s="37"/>
    </row>
    <row r="106" spans="1:2">
      <c r="A106" s="115"/>
      <c r="B106" s="37"/>
    </row>
    <row r="107" spans="1:2">
      <c r="A107" s="115"/>
      <c r="B107" s="37"/>
    </row>
    <row r="108" spans="1:2">
      <c r="A108" s="115"/>
      <c r="B108" s="37"/>
    </row>
    <row r="109" spans="1:2">
      <c r="A109" s="115"/>
      <c r="B109" s="37"/>
    </row>
    <row r="110" spans="1:2">
      <c r="A110" s="115"/>
      <c r="B110" s="37"/>
    </row>
    <row r="111" spans="1:2">
      <c r="A111" s="115"/>
      <c r="B111" s="37"/>
    </row>
    <row r="112" spans="1:2">
      <c r="A112" s="115"/>
      <c r="B112" s="37"/>
    </row>
    <row r="113" spans="1:2">
      <c r="A113" s="115"/>
      <c r="B113" s="37"/>
    </row>
    <row r="114" spans="1:2">
      <c r="A114" s="115"/>
      <c r="B114" s="37"/>
    </row>
    <row r="115" spans="1:2">
      <c r="A115" s="115"/>
      <c r="B115" s="37"/>
    </row>
    <row r="116" spans="1:2">
      <c r="A116" s="115"/>
      <c r="B116" s="37"/>
    </row>
    <row r="117" spans="1:2">
      <c r="A117" s="115"/>
      <c r="B117" s="37"/>
    </row>
    <row r="118" spans="1:2">
      <c r="A118" s="115"/>
      <c r="B118" s="37"/>
    </row>
    <row r="119" spans="1:2">
      <c r="A119" s="115"/>
      <c r="B119" s="37"/>
    </row>
    <row r="120" spans="1:2">
      <c r="A120" s="115"/>
      <c r="B120" s="37"/>
    </row>
    <row r="121" spans="1:2">
      <c r="A121" s="115"/>
      <c r="B121" s="37"/>
    </row>
    <row r="122" spans="1:2">
      <c r="A122" s="115"/>
      <c r="B122" s="37"/>
    </row>
    <row r="123" spans="1:2">
      <c r="A123" s="115"/>
      <c r="B123" s="37"/>
    </row>
    <row r="124" spans="1:2">
      <c r="A124" s="115"/>
      <c r="B124" s="37"/>
    </row>
    <row r="125" spans="1:2">
      <c r="A125" s="115"/>
      <c r="B125" s="37"/>
    </row>
    <row r="126" spans="1:2">
      <c r="A126" s="115"/>
      <c r="B126" s="37"/>
    </row>
    <row r="127" spans="1:2">
      <c r="A127" s="115"/>
      <c r="B127" s="37"/>
    </row>
    <row r="128" spans="1:2">
      <c r="A128" s="115"/>
      <c r="B128" s="37"/>
    </row>
    <row r="129" spans="1:2">
      <c r="A129" s="115"/>
      <c r="B129" s="37"/>
    </row>
    <row r="130" spans="1:2">
      <c r="A130" s="115"/>
      <c r="B130" s="37"/>
    </row>
    <row r="131" spans="1:2">
      <c r="A131" s="115"/>
      <c r="B131" s="37"/>
    </row>
    <row r="132" spans="1:2">
      <c r="A132" s="115"/>
      <c r="B132" s="37"/>
    </row>
    <row r="133" spans="1:2">
      <c r="A133" s="115"/>
      <c r="B133" s="37"/>
    </row>
    <row r="134" spans="1:2">
      <c r="A134" s="115"/>
      <c r="B134" s="37"/>
    </row>
    <row r="135" spans="1:2">
      <c r="A135" s="115"/>
      <c r="B135" s="37"/>
    </row>
    <row r="136" spans="1:2">
      <c r="A136" s="115"/>
      <c r="B136" s="37"/>
    </row>
    <row r="137" spans="1:2">
      <c r="A137" s="115"/>
      <c r="B137" s="37"/>
    </row>
    <row r="138" spans="1:2">
      <c r="A138" s="115"/>
      <c r="B138" s="37"/>
    </row>
    <row r="139" spans="1:2">
      <c r="A139" s="115"/>
      <c r="B139" s="37"/>
    </row>
    <row r="140" spans="1:2">
      <c r="A140" s="115"/>
      <c r="B140" s="37"/>
    </row>
    <row r="141" spans="1:2">
      <c r="A141" s="115"/>
      <c r="B141" s="37"/>
    </row>
    <row r="142" spans="1:2">
      <c r="A142" s="115"/>
      <c r="B142" s="37"/>
    </row>
    <row r="143" spans="1:2">
      <c r="A143" s="115"/>
      <c r="B143" s="37"/>
    </row>
    <row r="144" spans="1:2">
      <c r="A144" s="115"/>
      <c r="B144" s="37"/>
    </row>
    <row r="145" spans="1:2">
      <c r="A145" s="115"/>
      <c r="B145" s="37"/>
    </row>
    <row r="146" spans="1:2">
      <c r="A146" s="115"/>
      <c r="B146" s="37"/>
    </row>
    <row r="147" spans="1:2">
      <c r="A147" s="115"/>
      <c r="B147" s="37"/>
    </row>
    <row r="148" spans="1:2">
      <c r="A148" s="115"/>
      <c r="B148" s="37"/>
    </row>
    <row r="149" spans="1:2">
      <c r="A149" s="115"/>
      <c r="B149" s="37"/>
    </row>
    <row r="150" spans="1:2">
      <c r="A150" s="115"/>
      <c r="B150" s="37"/>
    </row>
    <row r="151" spans="1:2">
      <c r="A151" s="115"/>
      <c r="B151" s="37"/>
    </row>
    <row r="152" spans="1:2">
      <c r="A152" s="115"/>
      <c r="B152" s="37"/>
    </row>
    <row r="153" spans="1:2">
      <c r="A153" s="115"/>
      <c r="B153" s="37"/>
    </row>
    <row r="154" spans="1:2">
      <c r="A154" s="115"/>
      <c r="B154" s="37"/>
    </row>
    <row r="155" spans="1:2">
      <c r="A155" s="115"/>
      <c r="B155" s="37"/>
    </row>
    <row r="156" spans="1:2">
      <c r="A156" s="115"/>
      <c r="B156" s="37"/>
    </row>
    <row r="157" spans="1:2">
      <c r="A157" s="115"/>
      <c r="B157" s="37"/>
    </row>
    <row r="158" spans="1:2">
      <c r="A158" s="115"/>
      <c r="B158" s="37"/>
    </row>
    <row r="159" spans="1:2">
      <c r="A159" s="115"/>
      <c r="B159" s="37"/>
    </row>
    <row r="160" spans="1:2">
      <c r="A160" s="115"/>
      <c r="B160" s="37"/>
    </row>
    <row r="161" spans="1:2">
      <c r="A161" s="115"/>
      <c r="B161" s="37"/>
    </row>
    <row r="162" spans="1:2">
      <c r="A162" s="115"/>
      <c r="B162" s="37"/>
    </row>
    <row r="163" spans="1:2">
      <c r="A163" s="115"/>
      <c r="B163" s="37"/>
    </row>
    <row r="164" spans="1:2">
      <c r="A164" s="115"/>
      <c r="B164" s="37"/>
    </row>
    <row r="165" spans="1:2">
      <c r="A165" s="115"/>
      <c r="B165" s="37"/>
    </row>
    <row r="166" spans="1:2">
      <c r="A166" s="115"/>
      <c r="B166" s="37"/>
    </row>
    <row r="167" spans="1:2">
      <c r="A167" s="115"/>
      <c r="B167" s="37"/>
    </row>
    <row r="168" spans="1:2">
      <c r="A168" s="115"/>
      <c r="B168" s="37"/>
    </row>
    <row r="169" spans="1:2">
      <c r="A169" s="115"/>
      <c r="B169" s="37"/>
    </row>
    <row r="170" spans="1:2">
      <c r="A170" s="115"/>
      <c r="B170" s="37"/>
    </row>
    <row r="171" spans="1:2">
      <c r="A171" s="115"/>
      <c r="B171" s="37"/>
    </row>
    <row r="172" spans="1:2">
      <c r="A172" s="115"/>
      <c r="B172" s="37"/>
    </row>
    <row r="173" spans="1:2">
      <c r="A173" s="115"/>
      <c r="B173" s="37"/>
    </row>
    <row r="174" spans="1:2">
      <c r="A174" s="115"/>
      <c r="B174" s="37"/>
    </row>
    <row r="175" spans="1:2">
      <c r="A175" s="115"/>
      <c r="B175" s="37"/>
    </row>
    <row r="176" spans="1:2">
      <c r="A176" s="115"/>
      <c r="B176" s="37"/>
    </row>
    <row r="177" spans="1:2">
      <c r="A177" s="115"/>
      <c r="B177" s="37"/>
    </row>
    <row r="178" spans="1:2">
      <c r="A178" s="115"/>
      <c r="B178" s="37"/>
    </row>
    <row r="179" spans="1:2">
      <c r="A179" s="115"/>
      <c r="B179" s="37"/>
    </row>
    <row r="180" spans="1:2">
      <c r="A180" s="115"/>
      <c r="B180" s="37"/>
    </row>
    <row r="181" spans="1:2">
      <c r="A181" s="115"/>
      <c r="B181" s="37"/>
    </row>
    <row r="182" spans="1:2">
      <c r="A182" s="115"/>
      <c r="B182" s="37"/>
    </row>
    <row r="183" spans="1:2">
      <c r="A183" s="115"/>
      <c r="B183" s="37"/>
    </row>
    <row r="184" spans="1:2">
      <c r="A184" s="115"/>
      <c r="B184" s="37"/>
    </row>
    <row r="185" spans="1:2">
      <c r="A185" s="115"/>
      <c r="B185" s="37"/>
    </row>
    <row r="186" spans="1:2">
      <c r="A186" s="115"/>
      <c r="B186" s="37"/>
    </row>
    <row r="187" spans="1:2">
      <c r="A187" s="115"/>
      <c r="B187" s="37"/>
    </row>
    <row r="188" spans="1:2">
      <c r="A188" s="115"/>
      <c r="B188" s="37"/>
    </row>
    <row r="189" spans="1:2">
      <c r="A189" s="115"/>
      <c r="B189" s="37"/>
    </row>
    <row r="190" spans="1:2">
      <c r="A190" s="115"/>
      <c r="B190" s="37"/>
    </row>
    <row r="191" spans="1:2">
      <c r="A191" s="115"/>
      <c r="B191" s="37"/>
    </row>
    <row r="192" spans="1:2">
      <c r="A192" s="115"/>
    </row>
    <row r="193" spans="1:1">
      <c r="A193" s="115"/>
    </row>
    <row r="194" spans="1:1">
      <c r="A194" s="115"/>
    </row>
    <row r="195" spans="1:1">
      <c r="A195" s="115"/>
    </row>
    <row r="196" spans="1:1">
      <c r="A196" s="115"/>
    </row>
    <row r="197" spans="1:1">
      <c r="A197" s="115"/>
    </row>
    <row r="198" spans="1:1">
      <c r="A198" s="115"/>
    </row>
    <row r="199" spans="1:1">
      <c r="A199" s="115"/>
    </row>
    <row r="200" spans="1:1">
      <c r="A200" s="115"/>
    </row>
    <row r="201" spans="1:1">
      <c r="A201" s="115"/>
    </row>
    <row r="202" spans="1:1">
      <c r="A202" s="115"/>
    </row>
    <row r="203" spans="1:1">
      <c r="A203" s="115"/>
    </row>
    <row r="204" spans="1:1">
      <c r="A204" s="115"/>
    </row>
    <row r="205" spans="1:1">
      <c r="A205" s="115"/>
    </row>
    <row r="206" spans="1:1">
      <c r="A206" s="115"/>
    </row>
    <row r="207" spans="1:1">
      <c r="A207" s="115"/>
    </row>
    <row r="208" spans="1:1">
      <c r="A208" s="115"/>
    </row>
    <row r="209" spans="1:1">
      <c r="A209" s="115"/>
    </row>
    <row r="210" spans="1:1">
      <c r="A210" s="115"/>
    </row>
    <row r="211" spans="1:1">
      <c r="A211" s="115"/>
    </row>
    <row r="212" spans="1:1">
      <c r="A212" s="115"/>
    </row>
    <row r="213" spans="1:1">
      <c r="A213" s="115"/>
    </row>
    <row r="214" spans="1:1">
      <c r="A214" s="115"/>
    </row>
    <row r="215" spans="1:1">
      <c r="A215" s="115"/>
    </row>
    <row r="216" spans="1:1">
      <c r="A216" s="115"/>
    </row>
    <row r="217" spans="1:1">
      <c r="A217" s="115"/>
    </row>
    <row r="218" spans="1:1">
      <c r="A218" s="115"/>
    </row>
    <row r="219" spans="1:1">
      <c r="A219" s="115"/>
    </row>
    <row r="220" spans="1:1">
      <c r="A220" s="115"/>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General</vt:lpstr>
      <vt:lpstr>1. Autocorr</vt:lpstr>
      <vt:lpstr>2. Phi</vt:lpstr>
      <vt:lpstr>3. Covar</vt:lpstr>
      <vt:lpstr>4. Sigma &amp; Theta</vt:lpstr>
      <vt:lpstr>5. Model</vt:lpstr>
      <vt:lpstr>6. Residual</vt:lpstr>
      <vt:lpstr>6a. Residual II</vt:lpstr>
      <vt:lpstr>7. Forecast</vt:lpstr>
      <vt:lpstr>8. Forecast interval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branko</dc:creator>
  <cp:lastModifiedBy>Branko Pecar</cp:lastModifiedBy>
  <dcterms:created xsi:type="dcterms:W3CDTF">2017-01-08T11:30:56Z</dcterms:created>
  <dcterms:modified xsi:type="dcterms:W3CDTF">2022-06-08T20:20:44Z</dcterms:modified>
</cp:coreProperties>
</file>